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31" activeTab="3"/>
  </bookViews>
  <sheets>
    <sheet name="Valores" sheetId="1" r:id="rId1"/>
    <sheet name="Porcentajes" sheetId="2" r:id="rId2"/>
    <sheet name="GRAF1a5" sheetId="3" r:id="rId3"/>
    <sheet name="Conclusiones_Vacances" sheetId="4" r:id="rId4"/>
  </sheets>
  <definedNames>
    <definedName name="PyG">#REF!</definedName>
    <definedName name="PyG1">#REF!</definedName>
    <definedName name="PyG2">#REF!</definedName>
    <definedName name="PyG3">#REF!</definedName>
    <definedName name="PyG4">#REF!</definedName>
    <definedName name="PyG5">#REF!</definedName>
    <definedName name="Solvencia">#REF!</definedName>
  </definedNames>
  <calcPr fullCalcOnLoad="1"/>
</workbook>
</file>

<file path=xl/comments1.xml><?xml version="1.0" encoding="utf-8"?>
<comments xmlns="http://schemas.openxmlformats.org/spreadsheetml/2006/main">
  <authors>
    <author>Pedro Amador L?pez</author>
  </authors>
  <commentList>
    <comment ref="A63" authorId="0">
      <text>
        <r>
          <rPr>
            <b/>
            <sz val="8"/>
            <rFont val="Tahoma"/>
            <family val="0"/>
          </rPr>
          <t>o EBIT</t>
        </r>
      </text>
    </comment>
  </commentList>
</comments>
</file>

<file path=xl/comments3.xml><?xml version="1.0" encoding="utf-8"?>
<comments xmlns="http://schemas.openxmlformats.org/spreadsheetml/2006/main">
  <authors>
    <author>Pedro Amador L?pez</author>
  </authors>
  <commentList>
    <comment ref="C3" authorId="0">
      <text>
        <r>
          <rPr>
            <b/>
            <sz val="8"/>
            <rFont val="Tahoma"/>
            <family val="0"/>
          </rPr>
          <t>Stocks</t>
        </r>
      </text>
    </comment>
    <comment ref="C4" authorId="0">
      <text>
        <r>
          <rPr>
            <b/>
            <sz val="8"/>
            <rFont val="Tahoma"/>
            <family val="0"/>
          </rPr>
          <t>Clientes</t>
        </r>
      </text>
    </comment>
    <comment ref="I3" authorId="0">
      <text>
        <r>
          <rPr>
            <b/>
            <sz val="8"/>
            <rFont val="Tahoma"/>
            <family val="0"/>
          </rPr>
          <t>Stocks</t>
        </r>
      </text>
    </comment>
    <comment ref="I4" authorId="0">
      <text>
        <r>
          <rPr>
            <b/>
            <sz val="8"/>
            <rFont val="Tahoma"/>
            <family val="0"/>
          </rPr>
          <t>Clientes</t>
        </r>
      </text>
    </comment>
    <comment ref="O3" authorId="0">
      <text>
        <r>
          <rPr>
            <b/>
            <sz val="8"/>
            <rFont val="Tahoma"/>
            <family val="0"/>
          </rPr>
          <t>Stocks</t>
        </r>
      </text>
    </comment>
    <comment ref="O4" authorId="0">
      <text>
        <r>
          <rPr>
            <b/>
            <sz val="8"/>
            <rFont val="Tahoma"/>
            <family val="0"/>
          </rPr>
          <t>Clientes</t>
        </r>
      </text>
    </comment>
    <comment ref="U3" authorId="0">
      <text>
        <r>
          <rPr>
            <b/>
            <sz val="8"/>
            <rFont val="Tahoma"/>
            <family val="0"/>
          </rPr>
          <t>Stocks</t>
        </r>
      </text>
    </comment>
    <comment ref="U4" authorId="0">
      <text>
        <r>
          <rPr>
            <b/>
            <sz val="8"/>
            <rFont val="Tahoma"/>
            <family val="0"/>
          </rPr>
          <t>Clientes</t>
        </r>
      </text>
    </comment>
    <comment ref="AA3" authorId="0">
      <text>
        <r>
          <rPr>
            <b/>
            <sz val="8"/>
            <rFont val="Tahoma"/>
            <family val="0"/>
          </rPr>
          <t>Stocks</t>
        </r>
      </text>
    </comment>
    <comment ref="AA4" authorId="0">
      <text>
        <r>
          <rPr>
            <b/>
            <sz val="8"/>
            <rFont val="Tahoma"/>
            <family val="0"/>
          </rPr>
          <t>Clientes</t>
        </r>
      </text>
    </comment>
    <comment ref="AG3" authorId="0">
      <text>
        <r>
          <rPr>
            <b/>
            <sz val="8"/>
            <rFont val="Tahoma"/>
            <family val="0"/>
          </rPr>
          <t>Stocks</t>
        </r>
      </text>
    </comment>
    <comment ref="AG4" authorId="0">
      <text>
        <r>
          <rPr>
            <b/>
            <sz val="8"/>
            <rFont val="Tahoma"/>
            <family val="0"/>
          </rPr>
          <t>Clientes</t>
        </r>
      </text>
    </comment>
    <comment ref="AM3" authorId="0">
      <text>
        <r>
          <rPr>
            <b/>
            <sz val="8"/>
            <rFont val="Tahoma"/>
            <family val="0"/>
          </rPr>
          <t>Stocks</t>
        </r>
      </text>
    </comment>
    <comment ref="AM4" authorId="0">
      <text>
        <r>
          <rPr>
            <b/>
            <sz val="8"/>
            <rFont val="Tahoma"/>
            <family val="0"/>
          </rPr>
          <t>Clientes</t>
        </r>
      </text>
    </comment>
    <comment ref="AS3" authorId="0">
      <text>
        <r>
          <rPr>
            <b/>
            <sz val="8"/>
            <rFont val="Tahoma"/>
            <family val="0"/>
          </rPr>
          <t>Stocks</t>
        </r>
      </text>
    </comment>
    <comment ref="AS4" authorId="0">
      <text>
        <r>
          <rPr>
            <b/>
            <sz val="8"/>
            <rFont val="Tahoma"/>
            <family val="0"/>
          </rPr>
          <t>Clientes</t>
        </r>
      </text>
    </comment>
    <comment ref="AY3" authorId="0">
      <text>
        <r>
          <rPr>
            <b/>
            <sz val="8"/>
            <rFont val="Tahoma"/>
            <family val="0"/>
          </rPr>
          <t>Stocks</t>
        </r>
      </text>
    </comment>
    <comment ref="AY4" authorId="0">
      <text>
        <r>
          <rPr>
            <b/>
            <sz val="8"/>
            <rFont val="Tahoma"/>
            <family val="0"/>
          </rPr>
          <t>Clientes</t>
        </r>
      </text>
    </comment>
    <comment ref="BE3" authorId="0">
      <text>
        <r>
          <rPr>
            <b/>
            <sz val="8"/>
            <rFont val="Tahoma"/>
            <family val="0"/>
          </rPr>
          <t>Stocks</t>
        </r>
      </text>
    </comment>
    <comment ref="BE4" authorId="0">
      <text>
        <r>
          <rPr>
            <b/>
            <sz val="8"/>
            <rFont val="Tahoma"/>
            <family val="0"/>
          </rPr>
          <t>Clientes</t>
        </r>
      </text>
    </comment>
    <comment ref="BK3" authorId="0">
      <text>
        <r>
          <rPr>
            <b/>
            <sz val="8"/>
            <rFont val="Tahoma"/>
            <family val="0"/>
          </rPr>
          <t>Stocks</t>
        </r>
      </text>
    </comment>
    <comment ref="BK4" authorId="0">
      <text>
        <r>
          <rPr>
            <b/>
            <sz val="8"/>
            <rFont val="Tahoma"/>
            <family val="0"/>
          </rPr>
          <t>Clientes</t>
        </r>
      </text>
    </comment>
  </commentList>
</comments>
</file>

<file path=xl/sharedStrings.xml><?xml version="1.0" encoding="utf-8"?>
<sst xmlns="http://schemas.openxmlformats.org/spreadsheetml/2006/main" count="518" uniqueCount="284">
  <si>
    <t>ACTIVO</t>
  </si>
  <si>
    <t>PASIVO</t>
  </si>
  <si>
    <t>ACTIVO FIJO BRUTO</t>
  </si>
  <si>
    <t>Clientes</t>
  </si>
  <si>
    <t>ACTIVO CIRCULANTE</t>
  </si>
  <si>
    <t>Capital Social</t>
  </si>
  <si>
    <t>TOTAL CAPITAL PROPIO</t>
  </si>
  <si>
    <t>AF</t>
  </si>
  <si>
    <t>AC</t>
  </si>
  <si>
    <t>CP</t>
  </si>
  <si>
    <t>ELP</t>
  </si>
  <si>
    <t>ECP</t>
  </si>
  <si>
    <t>Endeudamiento</t>
  </si>
  <si>
    <t>Inmovilizado material</t>
  </si>
  <si>
    <t>Inmovilizado inmaterial</t>
  </si>
  <si>
    <t>Inmovilizado interino</t>
  </si>
  <si>
    <t>1) ANÁLISIS DEL ACTIVO</t>
  </si>
  <si>
    <t>Obsolescencia</t>
  </si>
  <si>
    <t>Funcionalidad</t>
  </si>
  <si>
    <t>Interinidad</t>
  </si>
  <si>
    <t>Consolidación</t>
  </si>
  <si>
    <t>Activos pesados</t>
  </si>
  <si>
    <t>2) ANÁLISIS DEL PASIVO</t>
  </si>
  <si>
    <t>Autofinanciación</t>
  </si>
  <si>
    <t>Reservas</t>
  </si>
  <si>
    <t>Fondo Maniobra</t>
  </si>
  <si>
    <t>Morosos</t>
  </si>
  <si>
    <t>IVA</t>
  </si>
  <si>
    <t>Rotación</t>
  </si>
  <si>
    <t>Stocks Materia Prima</t>
  </si>
  <si>
    <t>Stocks Producto en curso</t>
  </si>
  <si>
    <t>Stocks Producto Acabado</t>
  </si>
  <si>
    <t>Proveedores</t>
  </si>
  <si>
    <t>BAT</t>
  </si>
  <si>
    <t>BPT</t>
  </si>
  <si>
    <t>ROA</t>
  </si>
  <si>
    <t>FAF</t>
  </si>
  <si>
    <t>FAFF</t>
  </si>
  <si>
    <t>VALORES</t>
  </si>
  <si>
    <t>Extrafuncional</t>
  </si>
  <si>
    <t>Disponible/Efectivo</t>
  </si>
  <si>
    <t>Efectos Descontados</t>
  </si>
  <si>
    <t>Total Stocks</t>
  </si>
  <si>
    <t>Otros</t>
  </si>
  <si>
    <t>EXIGIBLE LARGO PLAZO</t>
  </si>
  <si>
    <t>Dividendos</t>
  </si>
  <si>
    <t>Impuestos</t>
  </si>
  <si>
    <t>Beneficios</t>
  </si>
  <si>
    <t>Vencimientos créditos</t>
  </si>
  <si>
    <t>Efectos descontados</t>
  </si>
  <si>
    <t>EXIGIBLE CORTO PLAZO</t>
  </si>
  <si>
    <t>Impuestos (sin beneficios)</t>
  </si>
  <si>
    <t>CUENTAS PyG</t>
  </si>
  <si>
    <t>Ventas</t>
  </si>
  <si>
    <t>Otros ingresos</t>
  </si>
  <si>
    <t>Total ventas</t>
  </si>
  <si>
    <t>Costes Variables</t>
  </si>
  <si>
    <t>Margen Bruto</t>
  </si>
  <si>
    <t>Personal y Seguridad Social</t>
  </si>
  <si>
    <t>Amortización</t>
  </si>
  <si>
    <t>Costes Fijos</t>
  </si>
  <si>
    <t>Gastos financieros</t>
  </si>
  <si>
    <t>Ingresos financieros</t>
  </si>
  <si>
    <t>Result antes taxes (BAT)</t>
  </si>
  <si>
    <t>Otros ingresos atípicos</t>
  </si>
  <si>
    <t>Otros gastos atípicos</t>
  </si>
  <si>
    <t>Result. Explotación (BAIT)</t>
  </si>
  <si>
    <t>ROA/ROE</t>
  </si>
  <si>
    <t>ROA: Margen explotac</t>
  </si>
  <si>
    <t>ROA: Rotación</t>
  </si>
  <si>
    <t>Result depués taxes (BPT)</t>
  </si>
  <si>
    <t>ROE: Margen Total</t>
  </si>
  <si>
    <t>ROE: Rotación</t>
  </si>
  <si>
    <t>ROE: Después impuestos</t>
  </si>
  <si>
    <t>ROE: Antes impuestos</t>
  </si>
  <si>
    <t>3) ANÁLISIS DEL CIRCULANTE - SOLVENCIA CORRIENTE</t>
  </si>
  <si>
    <t>4) ANÁLISIS DEL CIRCULANTE - ROTACIÓN</t>
  </si>
  <si>
    <t>Solvencia General</t>
  </si>
  <si>
    <t>Acid Test</t>
  </si>
  <si>
    <t>Rot. Stocks</t>
  </si>
  <si>
    <t>Rot. General (días)</t>
  </si>
  <si>
    <t xml:space="preserve">Rot. general </t>
  </si>
  <si>
    <t>FONDO AMORTIZACIÓN</t>
  </si>
  <si>
    <t>TOTAL PASIVO NETO</t>
  </si>
  <si>
    <t>TOTAL ACTIVO BRUTO</t>
  </si>
  <si>
    <t>TOTAL ACTIVO NETO</t>
  </si>
  <si>
    <t>PORCENTAJES REFERENTES A LOS TOTALES NETOS</t>
  </si>
  <si>
    <t>ACTIVO CIRCULANTE NETO</t>
  </si>
  <si>
    <t>Plazo medio cobro</t>
  </si>
  <si>
    <t>Plazo medio pago</t>
  </si>
  <si>
    <t>Intereses</t>
  </si>
  <si>
    <t>Ventas con IVA</t>
  </si>
  <si>
    <t>Compras con IVA</t>
  </si>
  <si>
    <t>ACTIVO TOTAL NETO</t>
  </si>
  <si>
    <t>ACTIVO TOTAL BRUTO</t>
  </si>
  <si>
    <t>1) Síntesis</t>
  </si>
  <si>
    <t>Financieramente parece que hay necesidad constante de renovación de activos</t>
  </si>
  <si>
    <t>1.1 Determinación de los problemas</t>
  </si>
  <si>
    <t>1.2 Se realizará un análisis patrimonial y económico del último año comparándolo con el año 1 (analizando su evolución)</t>
  </si>
  <si>
    <t>Costes variables</t>
  </si>
  <si>
    <t>OTROS</t>
  </si>
  <si>
    <t>2) Análisis histórico de la compañía</t>
  </si>
  <si>
    <t>TOTAL PASIVO BRUTO</t>
  </si>
  <si>
    <t>Año 5: existe un desequilibrio patrimonial porque está financiando un elevado porcentaje del activo fijo con exigible corto plazo</t>
  </si>
  <si>
    <t>Análisis del activo:</t>
  </si>
  <si>
    <t>- Predomina el activo de forma brutal, y sólo existe un "circulantillo"</t>
  </si>
  <si>
    <t>Activos amortizables</t>
  </si>
  <si>
    <t>- El activo circulante es testimonial pero destaca que el 60% corresponde a agencias de viaje</t>
  </si>
  <si>
    <t>Análisis del pasivo:</t>
  </si>
  <si>
    <t>Cíclicos</t>
  </si>
  <si>
    <t>Calidad cíclico/expreso</t>
  </si>
  <si>
    <t xml:space="preserve">- El beneficio lo han trasladado todos los años a reservar (alto porcentaje de autofinanciación). Es una apuesta por fortalecer </t>
  </si>
  <si>
    <t>financieramente la empresa</t>
  </si>
  <si>
    <t>- Un endeudamiento que no se basa en cíclico =&gt; Muy peligroso, porque es expreso y puede generar graves problemas para cumplir con los pagos</t>
  </si>
  <si>
    <t>- Endeudamiento bajo pero concentrado en el corto plazo (los acreedores podrían resarcirse en caso de impago con el activo fijo, aunque esto</t>
  </si>
  <si>
    <t>no sería deseable porque significaría la muerte de la empresa)</t>
  </si>
  <si>
    <t>Análisis dinámico</t>
  </si>
  <si>
    <t xml:space="preserve">- Se observa que el negocio requiere una continua inversión de activo fijo, pero que en general tiende a financiar con deuda a corto plazo (y además expresa) </t>
  </si>
  <si>
    <t>que lógicamente le compromete la puntualidad en el pago</t>
  </si>
  <si>
    <t>Análisis del circulante</t>
  </si>
  <si>
    <t>Análisis patrimonial (estático y dinámico)</t>
  </si>
  <si>
    <t>Solvencia corriente</t>
  </si>
  <si>
    <t>- Fondo de maniobra negativo</t>
  </si>
  <si>
    <t>- No tiene sentido indicarlas aquí</t>
  </si>
  <si>
    <t>- La solvencia general indica grandes problemas en caso de impago, porque no existe activo circulante con el que responder</t>
  </si>
  <si>
    <t>Análisis de la cuenta de resultados</t>
  </si>
  <si>
    <t>Margen sobre ventas</t>
  </si>
  <si>
    <t>Margen sobre ventas (after tax)</t>
  </si>
  <si>
    <t>- La empresa es rentable económicamente, porque vemos que está moviéndose en unos márgenes sobre ventas por encima del 25%</t>
  </si>
  <si>
    <t>- Analizándolo por ramas de actividad: el mayor peso es el submarinismo; la tienda y los barcos son residuales; mientras que los caballos dan pérdidas</t>
  </si>
  <si>
    <t>- ROA superior al tipo de interés, pero procede del margen, porque la rotación es muy baja (posiblemente porque es la propia del sector); sigue una</t>
  </si>
  <si>
    <t xml:space="preserve">evolución similar en los cuatro ejercicios.         </t>
  </si>
  <si>
    <t>- Debido al bajo nivel de endeudamiento, en el desglose del ROE se observa como el factor de endeudamiento incide muy poco en su consecución.</t>
  </si>
  <si>
    <t>La rendabilidad financiera se comprueba que procede del rendimiento del activo</t>
  </si>
  <si>
    <t>Comentar la planificación realizada que indica el texto (posibles inversiones, compras, crecimientos de ventas,…)</t>
  </si>
  <si>
    <t>3) Análisis de la planificación financiera planteada</t>
  </si>
  <si>
    <t>Análisis de los documentos (cuenta de resultados previsional, balance previsional, tesorería)</t>
  </si>
  <si>
    <t>Cuenta de resultados previsional: comprobar si el crecimiento de ventas es correcto (aparece un 12,5%: 10% ventas +2% inflacción),</t>
  </si>
  <si>
    <t>El BAIT con los crecimientos previstos se mantiene</t>
  </si>
  <si>
    <t>Debido a la estacionalidad de la actividad, el primer trimestre habrá pérdidas</t>
  </si>
  <si>
    <t>Movimientos de circulante: como la empresa no tiene actividad en el activo circulante, no merece la pena un análisis en este aspecto</t>
  </si>
  <si>
    <t>Balance previsional: v. cómo se expresa la voluntad de inversión de la empresa y a su vez la política de financiación o devolución de deuda.</t>
  </si>
  <si>
    <t>Ver si las inversiones cuadran con las previsiones y en el momento planificado</t>
  </si>
  <si>
    <t>En el exigible a corto plazo se observa la necesidad de liquidar una deuda en el tercer trimestre</t>
  </si>
  <si>
    <t>El fondo de amortización crece como consecuencia de las nuevas inversiones realizadas</t>
  </si>
  <si>
    <t xml:space="preserve">Presupuesto de tesorería: </t>
  </si>
  <si>
    <t>Se observa una necesidad financiera en el cuarto trimestre que requerirá 17846</t>
  </si>
  <si>
    <t>En el tercer trimestre se rebaja nuestra necesidad financiera porque cobramos</t>
  </si>
  <si>
    <t>Necesidad financiera acumulada:</t>
  </si>
  <si>
    <t>17846</t>
  </si>
  <si>
    <t>Cuatro trimestre del año</t>
  </si>
  <si>
    <t>4) Origen de la necesidad financiera</t>
  </si>
  <si>
    <t>Necesidad financiera máxima (punta)</t>
  </si>
  <si>
    <t>Coincide en el cuatro trimestre también</t>
  </si>
  <si>
    <t>de fuentes y empleos:</t>
  </si>
  <si>
    <t>Analizamos cuál es el origen de esta necesidad financiera, comprobando el cálculo del desfase financiero profundo y el origen a través del cuadro</t>
  </si>
  <si>
    <t>Cálculo del desfase financiero profundo: cómo se compara mi cash-flow con mi necesidad financiera de tesorería</t>
  </si>
  <si>
    <t>Suma: Cash Flow con la necesidad financiera punta = 26879,5</t>
  </si>
  <si>
    <t>Descomponemos el desfase financiero profundo (¿ordinario? ¿extraordinario?)</t>
  </si>
  <si>
    <t>Cash Flow Explotación: BAIT + Amortizaciones</t>
  </si>
  <si>
    <t>Necesidad Financiera del presupuesto ordinario</t>
  </si>
  <si>
    <t>Desfase Financiero presupuesto ordinario</t>
  </si>
  <si>
    <t>(a nivel ordinario ganamos 149,6 - además del beneficio y amortizaciones ya contadas - )</t>
  </si>
  <si>
    <t>Cash Flow Extraplotación: Gastos financieros</t>
  </si>
  <si>
    <t>Necesidad Financiera presupuesto extraordinario</t>
  </si>
  <si>
    <t>(la necesidad financiera viene del presupuesto extraordinario)</t>
  </si>
  <si>
    <t>(los gastos financieros históricos van en negativo!!!)</t>
  </si>
  <si>
    <t>Cuadro de diferencias contables (analizamos las partidas)</t>
  </si>
  <si>
    <t>Necesitaremos invertir 12000 en activo fijo bruto, y además, otra cantidad casi pareja en el pasivo. Total que necesito: 14900+12000</t>
  </si>
  <si>
    <t>5) Elaboración de la estrategia financiera</t>
  </si>
  <si>
    <t>Desfase Financiero presupuesto extraordinario</t>
  </si>
  <si>
    <t>Año 1996</t>
  </si>
  <si>
    <t>AMORT</t>
  </si>
  <si>
    <t>PROVIS.</t>
  </si>
  <si>
    <t>DIVIDEN.</t>
  </si>
  <si>
    <t>Vtos anuales e.l.p</t>
  </si>
  <si>
    <t>Cash Flow libre</t>
  </si>
  <si>
    <r>
      <t xml:space="preserve">Cálculo del </t>
    </r>
    <r>
      <rPr>
        <b/>
        <sz val="10"/>
        <rFont val="Arial"/>
        <family val="2"/>
      </rPr>
      <t>Cash Flow libre</t>
    </r>
    <r>
      <rPr>
        <sz val="10"/>
        <rFont val="Arial"/>
        <family val="0"/>
      </rPr>
      <t xml:space="preserve"> = BPT + AMORT + PROVISIONES - DIVIDENDOS - VTOS ANUALES EXIGIBLE A LARGO PLAZO</t>
    </r>
  </si>
  <si>
    <r>
      <t xml:space="preserve">Cálculo de la necesidad financiera acumulada máxima (comprobar lo de antes): </t>
    </r>
    <r>
      <rPr>
        <b/>
        <sz val="10"/>
        <rFont val="Arial"/>
        <family val="2"/>
      </rPr>
      <t>17846</t>
    </r>
  </si>
  <si>
    <t>ROA provisional = (BAITprev +- ATIPICOS ) / Activo total neto prev.</t>
  </si>
  <si>
    <t xml:space="preserve">= </t>
  </si>
  <si>
    <t>El activo total neto prev. es la del bruto-amortización acumulada</t>
  </si>
  <si>
    <t>= (7528,3 + 0 ) / (54120-13925)</t>
  </si>
  <si>
    <t>El ROA ha caído del 21% al 19%</t>
  </si>
  <si>
    <t>ROA por encima del tipo de interés =&gt; Nos permite endeudarnos</t>
  </si>
  <si>
    <t>=&gt; Y realmente podemos endeudarnos</t>
  </si>
  <si>
    <t>5.1</t>
  </si>
  <si>
    <r>
      <t xml:space="preserve">5.2 Selección de recursos financieros - </t>
    </r>
    <r>
      <rPr>
        <sz val="10"/>
        <rFont val="Arial"/>
        <family val="2"/>
      </rPr>
      <t xml:space="preserve">Nunca hablar de nada, sin haber mirado los puntos de la 5.1 - </t>
    </r>
  </si>
  <si>
    <t>Embarcación</t>
  </si>
  <si>
    <t>Tipo</t>
  </si>
  <si>
    <t>$</t>
  </si>
  <si>
    <t>Años</t>
  </si>
  <si>
    <t>Trimestre</t>
  </si>
  <si>
    <t>Compresor</t>
  </si>
  <si>
    <t>Botellas</t>
  </si>
  <si>
    <t>Caballos</t>
  </si>
  <si>
    <t>2Q</t>
  </si>
  <si>
    <t>3Q</t>
  </si>
  <si>
    <t>Otros (devolución deuda, caja, etc)</t>
  </si>
  <si>
    <r>
      <t>Reparaciones</t>
    </r>
    <r>
      <rPr>
        <b/>
        <sz val="8"/>
        <color indexed="9"/>
        <rFont val="Arial"/>
        <family val="2"/>
      </rPr>
      <t xml:space="preserve">
Barcos</t>
    </r>
  </si>
  <si>
    <t>Ampliación de capital</t>
  </si>
  <si>
    <t>NO</t>
  </si>
  <si>
    <t>Industrial</t>
  </si>
  <si>
    <t>Obligaciones</t>
  </si>
  <si>
    <t>Leasing</t>
  </si>
  <si>
    <t>Lease Back</t>
  </si>
  <si>
    <t>Prov. Equipos</t>
  </si>
  <si>
    <t>Corto plazo prov.</t>
  </si>
  <si>
    <t>Confirming</t>
  </si>
  <si>
    <t>Descuento bancario</t>
  </si>
  <si>
    <t>Factoring</t>
  </si>
  <si>
    <t>Créditos exportación</t>
  </si>
  <si>
    <t>Pólizas</t>
  </si>
  <si>
    <t>Reducción activos</t>
  </si>
  <si>
    <t>Quitar activos</t>
  </si>
  <si>
    <t>Extrafucionales</t>
  </si>
  <si>
    <t>Bajar stocks</t>
  </si>
  <si>
    <t>Cambio de objetivos</t>
  </si>
  <si>
    <t>Finanzaciones</t>
  </si>
  <si>
    <t>largo pla.</t>
  </si>
  <si>
    <t>corto pla.</t>
  </si>
  <si>
    <t>Hipoteca</t>
  </si>
  <si>
    <t>¿Rehipotecar los terrenos? 10.000 rehipotecable</t>
  </si>
  <si>
    <t>SI</t>
  </si>
  <si>
    <t>NO, es de amigo</t>
  </si>
  <si>
    <t>No tenemos proveedores</t>
  </si>
  <si>
    <t>No tenemos clientes</t>
  </si>
  <si>
    <t>No a lugar</t>
  </si>
  <si>
    <t>=6000+2000</t>
  </si>
  <si>
    <t>=4400</t>
  </si>
  <si>
    <t>=4000+2000</t>
  </si>
  <si>
    <t>TOTAL: 18400</t>
  </si>
  <si>
    <t>Con esto cubrimos las necesidades financieras</t>
  </si>
  <si>
    <t>PORCENTAJES REFERENTES A LOS TOTALES BRUTOS</t>
  </si>
  <si>
    <t>PREV</t>
  </si>
  <si>
    <t>ACTIVO FIJO NETO</t>
  </si>
  <si>
    <t>CLIENTES</t>
  </si>
  <si>
    <t>STOCKS</t>
  </si>
  <si>
    <t>Se parte de nula experiencia financiera (una pastelería) a la hora de montar este negocio</t>
  </si>
  <si>
    <t>Parece que tiene impuntualidades en los pagos (no presentarse en la Caja y Banco… irse de vacaciones)</t>
  </si>
  <si>
    <t>Condiciones innatas de Anne y Cirici: idiomas, capacidad deportiva, prudencia en el mar</t>
  </si>
  <si>
    <t>Cirici+Anne -&gt; vocación, ilusión…</t>
  </si>
  <si>
    <t>Precios un 20% más bajos que los competidores</t>
  </si>
  <si>
    <t>Amenaza de embargo</t>
  </si>
  <si>
    <t>Inversiones: renovar compresor, nuevos equipos submarinismo, renovación pencos (caballos viejos), banca adicional</t>
  </si>
  <si>
    <t>Cliente no mira el precio si: tiene seguridad y variedad fondos submarinismo</t>
  </si>
  <si>
    <t>Ratio de solvencia terrible (0,13)</t>
  </si>
  <si>
    <t>Endeudamiento bajo y conservador</t>
  </si>
  <si>
    <t>Con estos dos datos, vemos que la empresa responde (endeudamiento), pero mirando el ratio de solvencia libre, se comprueba que se responde con el activo</t>
  </si>
  <si>
    <t>fijo, no con el circulante (muy malo, pq como le metan mano al activo fijo, le paran la actividad)</t>
  </si>
  <si>
    <t>Acid test malísimo</t>
  </si>
  <si>
    <t>No comprobamos los stocks porque no tienen mucho sentido</t>
  </si>
  <si>
    <t>Plazo a clientes tampoco se comprueba porque se paga al contado</t>
  </si>
  <si>
    <t>ROA muy bueno (frente a unos 11% de intereses de esos años). Es rentable económicamente, pero financieramente impaga</t>
  </si>
  <si>
    <t>ROA descompuesto: su negocio es principalmente de margen, no de rotación (porque es estacional). Sorprende que los precios sean bajos</t>
  </si>
  <si>
    <t>cuando justamente en este negocio sólo se puede jugar con el margen</t>
  </si>
  <si>
    <t>El margen de la línea de caballos es muy malo, y sería interesante desprenderse de esta línea porque no aporta valor al buceo</t>
  </si>
  <si>
    <t>Existe un efecto de apalancamiento claro (aunque no elevadísimo): apalancamiento bueno, aunque habría que comprobar el riesgo</t>
  </si>
  <si>
    <t>¿Por qué se impaga? Comprobemos el esquema de fuentes y empleos</t>
  </si>
  <si>
    <t>Ha financiado con deuda a corto demasiado activo fijo… y su cash flow no es tan potente como para cubrir eso</t>
  </si>
  <si>
    <t>- Debido a un ROE alto… es una lástima que no se haya endeuda mejor. El banco debió financiado mejor, porque no debió haber finanzado</t>
  </si>
  <si>
    <t>a corto si ya se intuye que no es bueno (ya se podía comprobar que al cabo del año no se podía pagar)</t>
  </si>
  <si>
    <t>Comprobando primeramente el esquema de fuentes y empleos se observa un problema claro en el presupuesto extraordinario</t>
  </si>
  <si>
    <t>Aquí hemos sumado la muerte de caballos</t>
  </si>
  <si>
    <r>
      <t xml:space="preserve">Endeudamiento histórico = </t>
    </r>
    <r>
      <rPr>
        <b/>
        <sz val="10"/>
        <rFont val="Arial"/>
        <family val="2"/>
      </rPr>
      <t>1,29</t>
    </r>
    <r>
      <rPr>
        <sz val="10"/>
        <rFont val="Arial"/>
        <family val="0"/>
      </rPr>
      <t xml:space="preserve"> (el del último año)</t>
    </r>
  </si>
  <si>
    <t>inclumplido pagos con el banco</t>
  </si>
  <si>
    <t>No porque no tienen dinero (además que el ROA es grande y podemos aprovecharnos de amplio apalancamiento financiero y del bajo endeudamiento). De venir capital… de un socio (quizás alguien que se quiera unir a la empresa). A favor del capital: hemos</t>
  </si>
  <si>
    <t>Muy complicado</t>
  </si>
  <si>
    <t>Sería interesante pagar algo al banco (quizás 5 millones) y refinanciar 10</t>
  </si>
  <si>
    <t>Vender terrenos y caballos (los caballos inmediatamente)</t>
  </si>
  <si>
    <t xml:space="preserve">Capital de un socio </t>
  </si>
  <si>
    <t>Refinanciar deuda</t>
  </si>
  <si>
    <t>Venta caballos</t>
  </si>
  <si>
    <t>Pérdida del 50% del valor</t>
  </si>
  <si>
    <t>Pérdida evitada al no tener caballos</t>
  </si>
  <si>
    <t>Inversión evitada al no tener caballos</t>
  </si>
  <si>
    <t>Necesito ofrecer alguna garantía concreta: quizás algo de capital</t>
  </si>
  <si>
    <t>Objetivos</t>
  </si>
  <si>
    <t>Subir precios</t>
  </si>
  <si>
    <t>Los clientes no miran el precio si tienen seguridad y zonas diferentes</t>
  </si>
  <si>
    <t>Posibilidades de finanzación indicadas por Joan Massons</t>
  </si>
  <si>
    <t>Estoy desprestigiado financieramente</t>
  </si>
  <si>
    <t>Aumentos de ventas… (Ventas 1995 * 10% (ventas previsionales)) * 23% (crecimiento)</t>
  </si>
  <si>
    <t>EBIDTA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</si>
</sst>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2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2.5"/>
      <name val="Arial"/>
      <family val="0"/>
    </font>
    <font>
      <sz val="1"/>
      <name val="Arial"/>
      <family val="0"/>
    </font>
    <font>
      <sz val="4.75"/>
      <name val="Arial"/>
      <family val="0"/>
    </font>
    <font>
      <sz val="1.5"/>
      <name val="Arial"/>
      <family val="0"/>
    </font>
    <font>
      <sz val="10"/>
      <color indexed="9"/>
      <name val="Arial"/>
      <family val="0"/>
    </font>
    <font>
      <b/>
      <sz val="7"/>
      <color indexed="9"/>
      <name val="Arial"/>
      <family val="2"/>
    </font>
    <font>
      <b/>
      <sz val="8"/>
      <name val="Tahoma"/>
      <family val="0"/>
    </font>
    <font>
      <sz val="8"/>
      <color indexed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i/>
      <sz val="10"/>
      <color indexed="9"/>
      <name val="Arial"/>
      <family val="2"/>
    </font>
    <font>
      <b/>
      <sz val="9"/>
      <color indexed="9"/>
      <name val="Arial"/>
      <family val="2"/>
    </font>
    <font>
      <sz val="3.5"/>
      <name val="Arial"/>
      <family val="0"/>
    </font>
    <font>
      <sz val="1.75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b/>
      <i/>
      <sz val="9"/>
      <color indexed="9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6" borderId="0" xfId="0" applyFont="1" applyFill="1" applyAlignment="1">
      <alignment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9" fontId="0" fillId="0" borderId="0" xfId="2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9" fontId="0" fillId="9" borderId="0" xfId="0" applyNumberFormat="1" applyFill="1" applyAlignment="1">
      <alignment horizontal="left"/>
    </xf>
    <xf numFmtId="9" fontId="0" fillId="6" borderId="0" xfId="0" applyNumberFormat="1" applyFill="1" applyAlignment="1">
      <alignment horizontal="left"/>
    </xf>
    <xf numFmtId="9" fontId="0" fillId="10" borderId="0" xfId="0" applyNumberFormat="1" applyFill="1" applyAlignment="1">
      <alignment horizontal="left"/>
    </xf>
    <xf numFmtId="9" fontId="0" fillId="11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0" fillId="12" borderId="0" xfId="0" applyNumberFormat="1" applyFill="1" applyAlignment="1">
      <alignment/>
    </xf>
    <xf numFmtId="9" fontId="0" fillId="13" borderId="0" xfId="0" applyNumberFormat="1" applyFill="1" applyAlignment="1">
      <alignment/>
    </xf>
    <xf numFmtId="9" fontId="0" fillId="3" borderId="0" xfId="0" applyNumberFormat="1" applyFill="1" applyAlignment="1">
      <alignment/>
    </xf>
    <xf numFmtId="0" fontId="0" fillId="11" borderId="0" xfId="0" applyFill="1" applyAlignment="1">
      <alignment/>
    </xf>
    <xf numFmtId="0" fontId="2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17" fillId="4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21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4" borderId="0" xfId="0" applyFont="1" applyFill="1" applyAlignment="1">
      <alignment/>
    </xf>
    <xf numFmtId="0" fontId="19" fillId="5" borderId="0" xfId="0" applyFont="1" applyFill="1" applyAlignment="1">
      <alignment horizontal="right"/>
    </xf>
    <xf numFmtId="0" fontId="20" fillId="3" borderId="0" xfId="0" applyFont="1" applyFill="1" applyAlignment="1">
      <alignment/>
    </xf>
    <xf numFmtId="9" fontId="16" fillId="8" borderId="0" xfId="21" applyFont="1" applyFill="1" applyAlignment="1">
      <alignment/>
    </xf>
    <xf numFmtId="0" fontId="16" fillId="8" borderId="0" xfId="0" applyFont="1" applyFill="1" applyAlignment="1">
      <alignment/>
    </xf>
    <xf numFmtId="9" fontId="12" fillId="3" borderId="0" xfId="21" applyFont="1" applyFill="1" applyAlignment="1">
      <alignment/>
    </xf>
    <xf numFmtId="9" fontId="16" fillId="9" borderId="0" xfId="21" applyFont="1" applyFill="1" applyAlignment="1">
      <alignment/>
    </xf>
    <xf numFmtId="9" fontId="0" fillId="0" borderId="0" xfId="21" applyFill="1" applyAlignment="1">
      <alignment/>
    </xf>
    <xf numFmtId="0" fontId="16" fillId="9" borderId="0" xfId="0" applyFont="1" applyFill="1" applyAlignment="1">
      <alignment/>
    </xf>
    <xf numFmtId="0" fontId="12" fillId="11" borderId="0" xfId="0" applyFont="1" applyFill="1" applyAlignment="1">
      <alignment/>
    </xf>
    <xf numFmtId="0" fontId="12" fillId="14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6" fillId="6" borderId="0" xfId="0" applyFont="1" applyFill="1" applyAlignment="1">
      <alignment/>
    </xf>
    <xf numFmtId="0" fontId="18" fillId="4" borderId="0" xfId="0" applyFont="1" applyFill="1" applyAlignment="1">
      <alignment/>
    </xf>
    <xf numFmtId="0" fontId="27" fillId="4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Border="1" applyAlignment="1">
      <alignment/>
    </xf>
    <xf numFmtId="2" fontId="0" fillId="0" borderId="0" xfId="21" applyNumberFormat="1" applyFill="1" applyBorder="1" applyAlignment="1">
      <alignment/>
    </xf>
    <xf numFmtId="0" fontId="17" fillId="4" borderId="0" xfId="0" applyFont="1" applyFill="1" applyAlignment="1">
      <alignment/>
    </xf>
    <xf numFmtId="9" fontId="16" fillId="6" borderId="0" xfId="21" applyFont="1" applyFill="1" applyAlignment="1">
      <alignment/>
    </xf>
    <xf numFmtId="0" fontId="0" fillId="0" borderId="1" xfId="0" applyFill="1" applyBorder="1" applyAlignment="1">
      <alignment/>
    </xf>
    <xf numFmtId="49" fontId="2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16" fillId="0" borderId="0" xfId="0" applyNumberFormat="1" applyFont="1" applyAlignment="1">
      <alignment/>
    </xf>
    <xf numFmtId="49" fontId="16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1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7" fillId="15" borderId="0" xfId="0" applyNumberFormat="1" applyFont="1" applyFill="1" applyAlignment="1">
      <alignment/>
    </xf>
    <xf numFmtId="49" fontId="9" fillId="15" borderId="0" xfId="0" applyNumberFormat="1" applyFont="1" applyFill="1" applyAlignment="1">
      <alignment wrapText="1"/>
    </xf>
    <xf numFmtId="49" fontId="16" fillId="0" borderId="4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wrapText="1"/>
    </xf>
    <xf numFmtId="0" fontId="16" fillId="5" borderId="0" xfId="0" applyFont="1" applyFill="1" applyAlignment="1">
      <alignment/>
    </xf>
    <xf numFmtId="9" fontId="16" fillId="0" borderId="0" xfId="21" applyFont="1" applyFill="1" applyAlignment="1">
      <alignment/>
    </xf>
    <xf numFmtId="0" fontId="16" fillId="0" borderId="0" xfId="0" applyFont="1" applyFill="1" applyAlignment="1">
      <alignment/>
    </xf>
    <xf numFmtId="9" fontId="12" fillId="0" borderId="0" xfId="21" applyFont="1" applyFill="1" applyAlignment="1">
      <alignment/>
    </xf>
    <xf numFmtId="0" fontId="21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49" fontId="0" fillId="0" borderId="1" xfId="0" applyNumberFormat="1" applyFill="1" applyBorder="1" applyAlignment="1">
      <alignment horizontal="left" indent="2"/>
    </xf>
    <xf numFmtId="49" fontId="0" fillId="0" borderId="1" xfId="0" applyNumberFormat="1" applyFill="1" applyBorder="1" applyAlignment="1">
      <alignment horizontal="left" indent="4"/>
    </xf>
    <xf numFmtId="49" fontId="0" fillId="0" borderId="0" xfId="0" applyNumberFormat="1" applyAlignment="1">
      <alignment horizontal="left" indent="4"/>
    </xf>
    <xf numFmtId="49" fontId="16" fillId="0" borderId="0" xfId="0" applyNumberFormat="1" applyFont="1" applyAlignment="1">
      <alignment horizontal="left" indent="1"/>
    </xf>
    <xf numFmtId="2" fontId="0" fillId="0" borderId="0" xfId="0" applyNumberFormat="1" applyAlignment="1">
      <alignment horizontal="left" indent="1"/>
    </xf>
    <xf numFmtId="9" fontId="16" fillId="0" borderId="0" xfId="21" applyFont="1" applyAlignment="1">
      <alignment horizontal="left" indent="1"/>
    </xf>
    <xf numFmtId="49" fontId="1" fillId="0" borderId="0" xfId="0" applyNumberFormat="1" applyFont="1" applyAlignment="1">
      <alignment/>
    </xf>
    <xf numFmtId="49" fontId="16" fillId="3" borderId="0" xfId="0" applyNumberFormat="1" applyFont="1" applyFill="1" applyAlignment="1">
      <alignment/>
    </xf>
    <xf numFmtId="49" fontId="0" fillId="3" borderId="0" xfId="0" applyNumberFormat="1" applyFill="1" applyAlignment="1">
      <alignment/>
    </xf>
    <xf numFmtId="49" fontId="0" fillId="3" borderId="0" xfId="0" applyNumberFormat="1" applyFont="1" applyFill="1" applyAlignment="1">
      <alignment/>
    </xf>
    <xf numFmtId="0" fontId="0" fillId="3" borderId="0" xfId="0" applyNumberFormat="1" applyFill="1" applyAlignment="1">
      <alignment/>
    </xf>
  </cellXfs>
  <cellStyles count="1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56628200"/>
        <c:axId val="39891753"/>
      </c:bar3DChart>
      <c:catAx>
        <c:axId val="56628200"/>
        <c:scaling>
          <c:orientation val="minMax"/>
        </c:scaling>
        <c:axPos val="b"/>
        <c:delete val="1"/>
        <c:majorTickMark val="out"/>
        <c:minorTickMark val="none"/>
        <c:tickLblPos val="low"/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1528514"/>
        <c:axId val="36647763"/>
      </c:bar3DChart>
      <c:catAx>
        <c:axId val="11528514"/>
        <c:scaling>
          <c:orientation val="minMax"/>
        </c:scaling>
        <c:axPos val="b"/>
        <c:delete val="1"/>
        <c:majorTickMark val="out"/>
        <c:minorTickMark val="none"/>
        <c:tickLblPos val="low"/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85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1394412"/>
        <c:axId val="15678797"/>
      </c:bar3DChart>
      <c:catAx>
        <c:axId val="61394412"/>
        <c:scaling>
          <c:orientation val="minMax"/>
        </c:scaling>
        <c:axPos val="b"/>
        <c:delete val="1"/>
        <c:majorTickMark val="out"/>
        <c:minorTickMark val="none"/>
        <c:tickLblPos val="low"/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44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GRAF1a5!$H$5:$J$5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GRAF1a5!$H$4:$J$4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GRAF1a5!$H$3:$J$3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GRAF1a5!$H$2:$J$2</c:f>
              <c:numCache/>
            </c:numRef>
          </c:val>
          <c:shape val="box"/>
        </c:ser>
        <c:overlap val="100"/>
        <c:gapWidth val="0"/>
        <c:shape val="box"/>
        <c:axId val="6891446"/>
        <c:axId val="62023015"/>
      </c:bar3DChart>
      <c:catAx>
        <c:axId val="6891446"/>
        <c:scaling>
          <c:orientation val="minMax"/>
        </c:scaling>
        <c:axPos val="b"/>
        <c:delete val="1"/>
        <c:majorTickMark val="out"/>
        <c:minorTickMark val="none"/>
        <c:tickLblPos val="low"/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14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1336224"/>
        <c:axId val="57808289"/>
      </c:bar3DChart>
      <c:catAx>
        <c:axId val="21336224"/>
        <c:scaling>
          <c:orientation val="minMax"/>
        </c:scaling>
        <c:axPos val="b"/>
        <c:delete val="1"/>
        <c:majorTickMark val="out"/>
        <c:minorTickMark val="none"/>
        <c:tickLblPos val="low"/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62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GRAF1a5!$N$5:$P$5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GRAF1a5!$N$4:$P$4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GRAF1a5!$N$3:$P$3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GRAF1a5!$N$2:$P$2</c:f>
              <c:numCache/>
            </c:numRef>
          </c:val>
          <c:shape val="box"/>
        </c:ser>
        <c:overlap val="100"/>
        <c:gapWidth val="0"/>
        <c:shape val="box"/>
        <c:axId val="50512554"/>
        <c:axId val="51959803"/>
      </c:bar3DChart>
      <c:catAx>
        <c:axId val="50512554"/>
        <c:scaling>
          <c:orientation val="minMax"/>
        </c:scaling>
        <c:axPos val="b"/>
        <c:delete val="1"/>
        <c:majorTickMark val="out"/>
        <c:minorTickMark val="none"/>
        <c:tickLblPos val="low"/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25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4985044"/>
        <c:axId val="47994485"/>
      </c:bar3DChart>
      <c:catAx>
        <c:axId val="64985044"/>
        <c:scaling>
          <c:orientation val="minMax"/>
        </c:scaling>
        <c:axPos val="b"/>
        <c:delete val="1"/>
        <c:majorTickMark val="out"/>
        <c:minorTickMark val="none"/>
        <c:tickLblPos val="low"/>
        <c:crossAx val="47994485"/>
        <c:crosses val="autoZero"/>
        <c:auto val="1"/>
        <c:lblOffset val="100"/>
        <c:noMultiLvlLbl val="0"/>
      </c:catAx>
      <c:valAx>
        <c:axId val="47994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850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GRAF1a5!$T$5:$V$5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GRAF1a5!$T$4:$V$4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GRAF1a5!$T$3:$V$3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GRAF1a5!$T$2:$V$2</c:f>
              <c:numCache/>
            </c:numRef>
          </c:val>
          <c:shape val="box"/>
        </c:ser>
        <c:overlap val="100"/>
        <c:gapWidth val="0"/>
        <c:shape val="box"/>
        <c:axId val="29297182"/>
        <c:axId val="62348047"/>
      </c:bar3DChart>
      <c:catAx>
        <c:axId val="29297182"/>
        <c:scaling>
          <c:orientation val="minMax"/>
        </c:scaling>
        <c:axPos val="b"/>
        <c:delete val="1"/>
        <c:majorTickMark val="out"/>
        <c:minorTickMark val="none"/>
        <c:tickLblPos val="low"/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71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4261512"/>
        <c:axId val="17027017"/>
      </c:bar3DChart>
      <c:catAx>
        <c:axId val="24261512"/>
        <c:scaling>
          <c:orientation val="minMax"/>
        </c:scaling>
        <c:axPos val="b"/>
        <c:delete val="1"/>
        <c:majorTickMark val="out"/>
        <c:minorTickMark val="none"/>
        <c:tickLblPos val="low"/>
        <c:crossAx val="17027017"/>
        <c:crosses val="autoZero"/>
        <c:auto val="1"/>
        <c:lblOffset val="100"/>
        <c:noMultiLvlLbl val="0"/>
      </c:catAx>
      <c:valAx>
        <c:axId val="17027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15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GRAF1a5!$Z$5:$AB$5</c:f>
              <c:numCache>
                <c:ptCount val="3"/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GRAF1a5!$Z$4:$AB$4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GRAF1a5!$Z$3:$AB$3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GRAF1a5!$Z$2:$AB$2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19025426"/>
        <c:axId val="37011107"/>
      </c:bar3DChart>
      <c:catAx>
        <c:axId val="19025426"/>
        <c:scaling>
          <c:orientation val="minMax"/>
        </c:scaling>
        <c:axPos val="b"/>
        <c:delete val="1"/>
        <c:majorTickMark val="out"/>
        <c:minorTickMark val="none"/>
        <c:tickLblPos val="low"/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54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4664508"/>
        <c:axId val="45109661"/>
      </c:bar3DChart>
      <c:catAx>
        <c:axId val="64664508"/>
        <c:scaling>
          <c:orientation val="minMax"/>
        </c:scaling>
        <c:axPos val="b"/>
        <c:delete val="1"/>
        <c:majorTickMark val="out"/>
        <c:minorTickMark val="none"/>
        <c:tickLblPos val="low"/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645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3481458"/>
        <c:axId val="10006531"/>
      </c:bar3DChart>
      <c:catAx>
        <c:axId val="23481458"/>
        <c:scaling>
          <c:orientation val="minMax"/>
        </c:scaling>
        <c:axPos val="b"/>
        <c:delete val="1"/>
        <c:majorTickMark val="out"/>
        <c:minorTickMark val="none"/>
        <c:tickLblPos val="low"/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14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GRAF1a5!$AF$5:$AH$5</c:f>
              <c:numCache>
                <c:ptCount val="3"/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GRAF1a5!$AF$4:$AH$4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GRAF1a5!$AF$3:$AH$3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GRAF1a5!$AF$2:$AH$2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3333766"/>
        <c:axId val="30003895"/>
      </c:bar3DChart>
      <c:catAx>
        <c:axId val="3333766"/>
        <c:scaling>
          <c:orientation val="minMax"/>
        </c:scaling>
        <c:axPos val="b"/>
        <c:delete val="1"/>
        <c:majorTickMark val="out"/>
        <c:minorTickMark val="none"/>
        <c:tickLblPos val="low"/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599600"/>
        <c:axId val="14396401"/>
      </c:bar3DChart>
      <c:catAx>
        <c:axId val="1599600"/>
        <c:scaling>
          <c:orientation val="minMax"/>
        </c:scaling>
        <c:axPos val="b"/>
        <c:delete val="1"/>
        <c:majorTickMark val="out"/>
        <c:minorTickMark val="none"/>
        <c:tickLblPos val="low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6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GRAF1a5!$AL$5:$AN$5</c:f>
              <c:numCache>
                <c:ptCount val="3"/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GRAF1a5!$AL$4:$AN$4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GRAF1a5!$AL$3:$AN$3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GRAF1a5!$AL$2:$AN$2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62458746"/>
        <c:axId val="25257803"/>
      </c:bar3DChart>
      <c:catAx>
        <c:axId val="62458746"/>
        <c:scaling>
          <c:orientation val="minMax"/>
        </c:scaling>
        <c:axPos val="b"/>
        <c:delete val="1"/>
        <c:majorTickMark val="out"/>
        <c:minorTickMark val="none"/>
        <c:tickLblPos val="low"/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87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5993636"/>
        <c:axId val="32616133"/>
      </c:bar3DChart>
      <c:catAx>
        <c:axId val="25993636"/>
        <c:scaling>
          <c:orientation val="minMax"/>
        </c:scaling>
        <c:axPos val="b"/>
        <c:delete val="1"/>
        <c:majorTickMark val="out"/>
        <c:minorTickMark val="none"/>
        <c:tickLblPos val="low"/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36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GRAF1a5!$AR$5:$AT$5</c:f>
              <c:numCache>
                <c:ptCount val="3"/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GRAF1a5!$AR$4:$AT$4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GRAF1a5!$AR$3:$AT$3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GRAF1a5!$AR$2:$AT$2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25109742"/>
        <c:axId val="24661087"/>
      </c:bar3DChart>
      <c:catAx>
        <c:axId val="25109742"/>
        <c:scaling>
          <c:orientation val="minMax"/>
        </c:scaling>
        <c:axPos val="b"/>
        <c:delete val="1"/>
        <c:majorTickMark val="out"/>
        <c:minorTickMark val="none"/>
        <c:tickLblPos val="low"/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97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0623192"/>
        <c:axId val="51391001"/>
      </c:bar3DChart>
      <c:catAx>
        <c:axId val="20623192"/>
        <c:scaling>
          <c:orientation val="minMax"/>
        </c:scaling>
        <c:axPos val="b"/>
        <c:delete val="1"/>
        <c:majorTickMark val="out"/>
        <c:minorTickMark val="none"/>
        <c:tickLblPos val="low"/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231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GRAF1a5!$AX$5:$AZ$5</c:f>
              <c:numCache>
                <c:ptCount val="3"/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GRAF1a5!$AX$4:$AZ$4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GRAF1a5!$AX$3:$AZ$3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GRAF1a5!$AX$2:$AZ$2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59865826"/>
        <c:axId val="1921523"/>
      </c:bar3DChart>
      <c:catAx>
        <c:axId val="59865826"/>
        <c:scaling>
          <c:orientation val="minMax"/>
        </c:scaling>
        <c:axPos val="b"/>
        <c:delete val="1"/>
        <c:majorTickMark val="out"/>
        <c:minorTickMark val="none"/>
        <c:tickLblPos val="low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7293708"/>
        <c:axId val="21425645"/>
      </c:bar3DChart>
      <c:catAx>
        <c:axId val="17293708"/>
        <c:scaling>
          <c:orientation val="minMax"/>
        </c:scaling>
        <c:axPos val="b"/>
        <c:delete val="1"/>
        <c:majorTickMark val="out"/>
        <c:minorTickMark val="none"/>
        <c:tickLblPos val="low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93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GRAF1a5!$BD$5:$BF$5</c:f>
              <c:numCache>
                <c:ptCount val="3"/>
                <c:pt idx="1">
                  <c:v>0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GRAF1a5!$BD$4:$BF$4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GRAF1a5!$BD$3:$BF$3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GRAF1a5!$BD$2:$BF$2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gapWidth val="0"/>
        <c:shape val="box"/>
        <c:axId val="58613078"/>
        <c:axId val="57755655"/>
      </c:bar3DChart>
      <c:catAx>
        <c:axId val="58613078"/>
        <c:scaling>
          <c:orientation val="minMax"/>
        </c:scaling>
        <c:axPos val="b"/>
        <c:delete val="1"/>
        <c:majorTickMark val="out"/>
        <c:minorTickMark val="none"/>
        <c:tickLblPos val="low"/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30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7525"/>
          <c:h val="0.878"/>
        </c:manualLayout>
      </c:layout>
      <c:lineChart>
        <c:grouping val="standard"/>
        <c:varyColors val="0"/>
        <c:ser>
          <c:idx val="0"/>
          <c:order val="0"/>
          <c:tx>
            <c:v>Activo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(GRAF1a5!$B$2,GRAF1a5!$H$2,GRAF1a5!$N$2,GRAF1a5!$T$2,GRAF1a5!$Z$2,GRAF1a5!$AF$2,GRAF1a5!$AL$2,GRAF1a5!$AR$2,GRAF1a5!$AX$2,GRAF1a5!$BD$2,GRAF1a5!$BJ$2)</c:f>
              <c:numCache/>
            </c:numRef>
          </c:val>
          <c:smooth val="1"/>
        </c:ser>
        <c:ser>
          <c:idx val="2"/>
          <c:order val="1"/>
          <c:tx>
            <c:v>Activo Circulante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(GRAF1a5!$B$3,GRAF1a5!$H$3,GRAF1a5!$N$3,GRAF1a5!$T$3,GRAF1a5!$Z$3,GRAF1a5!$AF$3,GRAF1a5!$AL$3,GRAF1a5!$AR$3,GRAF1a5!$AX$3,GRAF1a5!$BD$3,GRAF1a5!$BJ$3)</c:f>
              <c:numCache/>
            </c:numRef>
          </c:val>
          <c:smooth val="1"/>
        </c:ser>
        <c:ser>
          <c:idx val="1"/>
          <c:order val="2"/>
          <c:tx>
            <c:v>Capital Propio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(GRAF1a5!$D$2,GRAF1a5!$J$2,GRAF1a5!$P$2,GRAF1a5!$V$2,GRAF1a5!$AB$2,GRAF1a5!$AH$2,GRAF1a5!$AN$2,GRAF1a5!$AT$2,GRAF1a5!$AZ$2,GRAF1a5!$BF$2,GRAF1a5!$BL$2)</c:f>
              <c:numCache/>
            </c:numRef>
          </c:val>
          <c:smooth val="1"/>
        </c:ser>
        <c:ser>
          <c:idx val="3"/>
          <c:order val="3"/>
          <c:tx>
            <c:v>Deuda Largo Plazo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(GRAF1a5!$D$3,GRAF1a5!$J$3,GRAF1a5!$P$3,GRAF1a5!$V$3,GRAF1a5!$AB$3,GRAF1a5!$AH$3,GRAF1a5!$AN$3,GRAF1a5!$AT$3,GRAF1a5!$AZ$3,GRAF1a5!$BF$3,GRAF1a5!$BL$3)</c:f>
              <c:numCache/>
            </c:numRef>
          </c:val>
          <c:smooth val="1"/>
        </c:ser>
        <c:ser>
          <c:idx val="4"/>
          <c:order val="4"/>
          <c:tx>
            <c:v>Deuda a Corto Plazo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(GRAF1a5!$D$4,GRAF1a5!$J$4,GRAF1a5!$P$4,GRAF1a5!$V$4,GRAF1a5!$AB$4,GRAF1a5!$AH$4,GRAF1a5!$AN$4,GRAF1a5!$AT$4,GRAF1a5!$AZ$4,GRAF1a5!$BF$4,GRAF1a5!$BL$4)</c:f>
              <c:numCache/>
            </c:numRef>
          </c:val>
          <c:smooth val="1"/>
        </c:ser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</c:scaling>
        <c:axPos val="l"/>
        <c:delete val="1"/>
        <c:majorTickMark val="out"/>
        <c:minorTickMark val="none"/>
        <c:tickLblPos val="nextTo"/>
        <c:crossAx val="5003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9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2949916"/>
        <c:axId val="5222653"/>
      </c:bar3DChart>
      <c:catAx>
        <c:axId val="22949916"/>
        <c:scaling>
          <c:orientation val="minMax"/>
        </c:scaling>
        <c:axPos val="b"/>
        <c:delete val="1"/>
        <c:majorTickMark val="out"/>
        <c:minorTickMark val="none"/>
        <c:tickLblPos val="low"/>
        <c:crossAx val="5222653"/>
        <c:crosses val="autoZero"/>
        <c:auto val="1"/>
        <c:lblOffset val="100"/>
        <c:noMultiLvlLbl val="0"/>
      </c:catAx>
      <c:valAx>
        <c:axId val="522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99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6614858"/>
        <c:axId val="38207131"/>
      </c:bar3DChart>
      <c:catAx>
        <c:axId val="26614858"/>
        <c:scaling>
          <c:orientation val="minMax"/>
        </c:scaling>
        <c:axPos val="b"/>
        <c:delete val="1"/>
        <c:majorTickMark val="out"/>
        <c:minorTickMark val="none"/>
        <c:tickLblPos val="low"/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48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GRAF1a5!$BD$5:$BF$5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GRAF1a5!$BD$4:$BF$4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GRAF1a5!$BD$3:$BF$3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GRAF1a5!$BD$2:$BF$2</c:f>
            </c:numRef>
          </c:val>
          <c:shape val="box"/>
        </c:ser>
        <c:overlap val="100"/>
        <c:gapWidth val="0"/>
        <c:shape val="box"/>
        <c:axId val="8319860"/>
        <c:axId val="7769877"/>
      </c:bar3DChart>
      <c:catAx>
        <c:axId val="8319860"/>
        <c:scaling>
          <c:orientation val="minMax"/>
        </c:scaling>
        <c:axPos val="b"/>
        <c:delete val="1"/>
        <c:majorTickMark val="out"/>
        <c:minorTickMark val="none"/>
        <c:tickLblPos val="low"/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7003878"/>
        <c:axId val="20381719"/>
      </c:bar3DChart>
      <c:catAx>
        <c:axId val="47003878"/>
        <c:scaling>
          <c:orientation val="minMax"/>
        </c:scaling>
        <c:axPos val="b"/>
        <c:delete val="1"/>
        <c:majorTickMark val="out"/>
        <c:minorTickMark val="none"/>
        <c:tickLblPos val="low"/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38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9217744"/>
        <c:axId val="40306513"/>
      </c:bar3DChart>
      <c:catAx>
        <c:axId val="49217744"/>
        <c:scaling>
          <c:orientation val="minMax"/>
        </c:scaling>
        <c:axPos val="b"/>
        <c:delete val="1"/>
        <c:majorTickMark val="out"/>
        <c:minorTickMark val="none"/>
        <c:tickLblPos val="low"/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77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5"/>
          <c:y val="0"/>
          <c:w val="0.98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GRAF1a5!$B$5:$D$5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GRAF1a5!$B$4:$D$4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GRAF1a5!$B$3:$D$3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GRAF1a5!$B$2:$D$2</c:f>
              <c:numCache/>
            </c:numRef>
          </c:val>
          <c:shape val="box"/>
        </c:ser>
        <c:overlap val="100"/>
        <c:gapWidth val="0"/>
        <c:shape val="box"/>
        <c:axId val="27214298"/>
        <c:axId val="43602091"/>
      </c:bar3DChart>
      <c:catAx>
        <c:axId val="27214298"/>
        <c:scaling>
          <c:orientation val="minMax"/>
        </c:scaling>
        <c:axPos val="b"/>
        <c:delete val="1"/>
        <c:majorTickMark val="out"/>
        <c:minorTickMark val="none"/>
        <c:tickLblPos val="low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GRAF1a5!$B$34:$D$34</c:f>
              <c:numCache/>
            </c:numRef>
          </c:cat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GRAF1a5!$B$34:$D$34</c:f>
              <c:numCache/>
            </c:numRef>
          </c:cat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GRAF1a5!$B$34:$D$34</c:f>
              <c:numCache/>
            </c:numRef>
          </c:cat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GRAF1a5!$B$34:$D$34</c:f>
              <c:numCache/>
            </c:numRef>
          </c:cat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56874500"/>
        <c:axId val="42108453"/>
      </c:bar3DChart>
      <c:catAx>
        <c:axId val="56874500"/>
        <c:scaling>
          <c:orientation val="minMax"/>
        </c:scaling>
        <c:axPos val="b"/>
        <c:delete val="1"/>
        <c:majorTickMark val="out"/>
        <c:minorTickMark val="none"/>
        <c:tickLblPos val="low"/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3431758"/>
        <c:axId val="55341503"/>
      </c:bar3DChart>
      <c:catAx>
        <c:axId val="43431758"/>
        <c:scaling>
          <c:orientation val="minMax"/>
        </c:scaling>
        <c:axPos val="b"/>
        <c:delete val="1"/>
        <c:majorTickMark val="out"/>
        <c:minorTickMark val="none"/>
        <c:tickLblPos val="low"/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8311480"/>
        <c:axId val="53476729"/>
      </c:bar3DChart>
      <c:catAx>
        <c:axId val="28311480"/>
        <c:scaling>
          <c:orientation val="minMax"/>
        </c:scaling>
        <c:axPos val="b"/>
        <c:delete val="1"/>
        <c:majorTickMark val="out"/>
        <c:minorTickMark val="none"/>
        <c:tickLblPos val="low"/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114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25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581025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0" y="809625"/>
        <a:ext cx="2257425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7" name="Chart 7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8" name="Chart 8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9" name="Chart 9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10" name="Chart 10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581025</xdr:colOff>
      <xdr:row>0</xdr:row>
      <xdr:rowOff>0</xdr:rowOff>
    </xdr:to>
    <xdr:graphicFrame>
      <xdr:nvGraphicFramePr>
        <xdr:cNvPr id="11" name="Chart 24"/>
        <xdr:cNvGraphicFramePr/>
      </xdr:nvGraphicFramePr>
      <xdr:xfrm>
        <a:off x="2505075" y="0"/>
        <a:ext cx="2257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581025</xdr:colOff>
      <xdr:row>33</xdr:row>
      <xdr:rowOff>9525</xdr:rowOff>
    </xdr:to>
    <xdr:graphicFrame>
      <xdr:nvGraphicFramePr>
        <xdr:cNvPr id="12" name="Chart 25"/>
        <xdr:cNvGraphicFramePr/>
      </xdr:nvGraphicFramePr>
      <xdr:xfrm>
        <a:off x="2505075" y="809625"/>
        <a:ext cx="2257425" cy="4543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13" name="Chart 29"/>
        <xdr:cNvGraphicFramePr/>
      </xdr:nvGraphicFramePr>
      <xdr:xfrm>
        <a:off x="5010150" y="0"/>
        <a:ext cx="22574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581025</xdr:colOff>
      <xdr:row>33</xdr:row>
      <xdr:rowOff>9525</xdr:rowOff>
    </xdr:to>
    <xdr:graphicFrame>
      <xdr:nvGraphicFramePr>
        <xdr:cNvPr id="14" name="Chart 30"/>
        <xdr:cNvGraphicFramePr/>
      </xdr:nvGraphicFramePr>
      <xdr:xfrm>
        <a:off x="5010150" y="809625"/>
        <a:ext cx="2257425" cy="4543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581025</xdr:colOff>
      <xdr:row>0</xdr:row>
      <xdr:rowOff>0</xdr:rowOff>
    </xdr:to>
    <xdr:graphicFrame>
      <xdr:nvGraphicFramePr>
        <xdr:cNvPr id="15" name="Chart 34"/>
        <xdr:cNvGraphicFramePr/>
      </xdr:nvGraphicFramePr>
      <xdr:xfrm>
        <a:off x="7515225" y="0"/>
        <a:ext cx="22574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22</xdr:col>
      <xdr:colOff>581025</xdr:colOff>
      <xdr:row>33</xdr:row>
      <xdr:rowOff>9525</xdr:rowOff>
    </xdr:to>
    <xdr:graphicFrame>
      <xdr:nvGraphicFramePr>
        <xdr:cNvPr id="16" name="Chart 35"/>
        <xdr:cNvGraphicFramePr/>
      </xdr:nvGraphicFramePr>
      <xdr:xfrm>
        <a:off x="7515225" y="809625"/>
        <a:ext cx="2257425" cy="4543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28</xdr:col>
      <xdr:colOff>581025</xdr:colOff>
      <xdr:row>0</xdr:row>
      <xdr:rowOff>0</xdr:rowOff>
    </xdr:to>
    <xdr:graphicFrame>
      <xdr:nvGraphicFramePr>
        <xdr:cNvPr id="17" name="Chart 39"/>
        <xdr:cNvGraphicFramePr/>
      </xdr:nvGraphicFramePr>
      <xdr:xfrm>
        <a:off x="10020300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</xdr:row>
      <xdr:rowOff>0</xdr:rowOff>
    </xdr:from>
    <xdr:to>
      <xdr:col>28</xdr:col>
      <xdr:colOff>581025</xdr:colOff>
      <xdr:row>33</xdr:row>
      <xdr:rowOff>9525</xdr:rowOff>
    </xdr:to>
    <xdr:graphicFrame>
      <xdr:nvGraphicFramePr>
        <xdr:cNvPr id="18" name="Chart 40"/>
        <xdr:cNvGraphicFramePr/>
      </xdr:nvGraphicFramePr>
      <xdr:xfrm>
        <a:off x="10020300" y="809625"/>
        <a:ext cx="0" cy="4543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34</xdr:col>
      <xdr:colOff>581025</xdr:colOff>
      <xdr:row>0</xdr:row>
      <xdr:rowOff>0</xdr:rowOff>
    </xdr:to>
    <xdr:graphicFrame>
      <xdr:nvGraphicFramePr>
        <xdr:cNvPr id="19" name="Chart 44"/>
        <xdr:cNvGraphicFramePr/>
      </xdr:nvGraphicFramePr>
      <xdr:xfrm>
        <a:off x="10267950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34</xdr:col>
      <xdr:colOff>581025</xdr:colOff>
      <xdr:row>33</xdr:row>
      <xdr:rowOff>9525</xdr:rowOff>
    </xdr:to>
    <xdr:graphicFrame>
      <xdr:nvGraphicFramePr>
        <xdr:cNvPr id="20" name="Chart 45"/>
        <xdr:cNvGraphicFramePr/>
      </xdr:nvGraphicFramePr>
      <xdr:xfrm>
        <a:off x="10267950" y="809625"/>
        <a:ext cx="0" cy="4543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36</xdr:col>
      <xdr:colOff>0</xdr:colOff>
      <xdr:row>0</xdr:row>
      <xdr:rowOff>0</xdr:rowOff>
    </xdr:from>
    <xdr:to>
      <xdr:col>40</xdr:col>
      <xdr:colOff>581025</xdr:colOff>
      <xdr:row>0</xdr:row>
      <xdr:rowOff>0</xdr:rowOff>
    </xdr:to>
    <xdr:graphicFrame>
      <xdr:nvGraphicFramePr>
        <xdr:cNvPr id="21" name="Chart 49"/>
        <xdr:cNvGraphicFramePr/>
      </xdr:nvGraphicFramePr>
      <xdr:xfrm>
        <a:off x="10515600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36</xdr:col>
      <xdr:colOff>0</xdr:colOff>
      <xdr:row>5</xdr:row>
      <xdr:rowOff>0</xdr:rowOff>
    </xdr:from>
    <xdr:to>
      <xdr:col>40</xdr:col>
      <xdr:colOff>581025</xdr:colOff>
      <xdr:row>33</xdr:row>
      <xdr:rowOff>9525</xdr:rowOff>
    </xdr:to>
    <xdr:graphicFrame>
      <xdr:nvGraphicFramePr>
        <xdr:cNvPr id="22" name="Chart 50"/>
        <xdr:cNvGraphicFramePr/>
      </xdr:nvGraphicFramePr>
      <xdr:xfrm>
        <a:off x="10515600" y="809625"/>
        <a:ext cx="0" cy="4543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42</xdr:col>
      <xdr:colOff>0</xdr:colOff>
      <xdr:row>0</xdr:row>
      <xdr:rowOff>0</xdr:rowOff>
    </xdr:from>
    <xdr:to>
      <xdr:col>46</xdr:col>
      <xdr:colOff>581025</xdr:colOff>
      <xdr:row>0</xdr:row>
      <xdr:rowOff>0</xdr:rowOff>
    </xdr:to>
    <xdr:graphicFrame>
      <xdr:nvGraphicFramePr>
        <xdr:cNvPr id="23" name="Chart 54"/>
        <xdr:cNvGraphicFramePr/>
      </xdr:nvGraphicFramePr>
      <xdr:xfrm>
        <a:off x="10763250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42</xdr:col>
      <xdr:colOff>0</xdr:colOff>
      <xdr:row>5</xdr:row>
      <xdr:rowOff>0</xdr:rowOff>
    </xdr:from>
    <xdr:to>
      <xdr:col>46</xdr:col>
      <xdr:colOff>581025</xdr:colOff>
      <xdr:row>33</xdr:row>
      <xdr:rowOff>9525</xdr:rowOff>
    </xdr:to>
    <xdr:graphicFrame>
      <xdr:nvGraphicFramePr>
        <xdr:cNvPr id="24" name="Chart 55"/>
        <xdr:cNvGraphicFramePr/>
      </xdr:nvGraphicFramePr>
      <xdr:xfrm>
        <a:off x="10763250" y="809625"/>
        <a:ext cx="0" cy="4543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48</xdr:col>
      <xdr:colOff>0</xdr:colOff>
      <xdr:row>0</xdr:row>
      <xdr:rowOff>0</xdr:rowOff>
    </xdr:from>
    <xdr:to>
      <xdr:col>52</xdr:col>
      <xdr:colOff>581025</xdr:colOff>
      <xdr:row>0</xdr:row>
      <xdr:rowOff>0</xdr:rowOff>
    </xdr:to>
    <xdr:graphicFrame>
      <xdr:nvGraphicFramePr>
        <xdr:cNvPr id="25" name="Chart 59"/>
        <xdr:cNvGraphicFramePr/>
      </xdr:nvGraphicFramePr>
      <xdr:xfrm>
        <a:off x="11010900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48</xdr:col>
      <xdr:colOff>0</xdr:colOff>
      <xdr:row>5</xdr:row>
      <xdr:rowOff>0</xdr:rowOff>
    </xdr:from>
    <xdr:to>
      <xdr:col>52</xdr:col>
      <xdr:colOff>581025</xdr:colOff>
      <xdr:row>33</xdr:row>
      <xdr:rowOff>9525</xdr:rowOff>
    </xdr:to>
    <xdr:graphicFrame>
      <xdr:nvGraphicFramePr>
        <xdr:cNvPr id="26" name="Chart 60"/>
        <xdr:cNvGraphicFramePr/>
      </xdr:nvGraphicFramePr>
      <xdr:xfrm>
        <a:off x="11010900" y="809625"/>
        <a:ext cx="0" cy="45434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54</xdr:col>
      <xdr:colOff>0</xdr:colOff>
      <xdr:row>0</xdr:row>
      <xdr:rowOff>0</xdr:rowOff>
    </xdr:from>
    <xdr:to>
      <xdr:col>58</xdr:col>
      <xdr:colOff>581025</xdr:colOff>
      <xdr:row>0</xdr:row>
      <xdr:rowOff>0</xdr:rowOff>
    </xdr:to>
    <xdr:graphicFrame>
      <xdr:nvGraphicFramePr>
        <xdr:cNvPr id="27" name="Chart 64"/>
        <xdr:cNvGraphicFramePr/>
      </xdr:nvGraphicFramePr>
      <xdr:xfrm>
        <a:off x="11258550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54</xdr:col>
      <xdr:colOff>0</xdr:colOff>
      <xdr:row>5</xdr:row>
      <xdr:rowOff>0</xdr:rowOff>
    </xdr:from>
    <xdr:to>
      <xdr:col>58</xdr:col>
      <xdr:colOff>581025</xdr:colOff>
      <xdr:row>33</xdr:row>
      <xdr:rowOff>9525</xdr:rowOff>
    </xdr:to>
    <xdr:graphicFrame>
      <xdr:nvGraphicFramePr>
        <xdr:cNvPr id="28" name="Chart 65"/>
        <xdr:cNvGraphicFramePr/>
      </xdr:nvGraphicFramePr>
      <xdr:xfrm>
        <a:off x="11258550" y="809625"/>
        <a:ext cx="0" cy="4543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</xdr:row>
      <xdr:rowOff>57150</xdr:rowOff>
    </xdr:from>
    <xdr:to>
      <xdr:col>65</xdr:col>
      <xdr:colOff>581025</xdr:colOff>
      <xdr:row>37</xdr:row>
      <xdr:rowOff>152400</xdr:rowOff>
    </xdr:to>
    <xdr:graphicFrame>
      <xdr:nvGraphicFramePr>
        <xdr:cNvPr id="29" name="Chart 91"/>
        <xdr:cNvGraphicFramePr/>
      </xdr:nvGraphicFramePr>
      <xdr:xfrm>
        <a:off x="57150" y="866775"/>
        <a:ext cx="12030075" cy="527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60</xdr:col>
      <xdr:colOff>0</xdr:colOff>
      <xdr:row>0</xdr:row>
      <xdr:rowOff>0</xdr:rowOff>
    </xdr:from>
    <xdr:to>
      <xdr:col>64</xdr:col>
      <xdr:colOff>581025</xdr:colOff>
      <xdr:row>0</xdr:row>
      <xdr:rowOff>0</xdr:rowOff>
    </xdr:to>
    <xdr:graphicFrame>
      <xdr:nvGraphicFramePr>
        <xdr:cNvPr id="30" name="Chart 118"/>
        <xdr:cNvGraphicFramePr/>
      </xdr:nvGraphicFramePr>
      <xdr:xfrm>
        <a:off x="11506200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0</xdr:colOff>
      <xdr:row>5</xdr:row>
      <xdr:rowOff>0</xdr:rowOff>
    </xdr:from>
    <xdr:to>
      <xdr:col>64</xdr:col>
      <xdr:colOff>581025</xdr:colOff>
      <xdr:row>33</xdr:row>
      <xdr:rowOff>9525</xdr:rowOff>
    </xdr:to>
    <xdr:graphicFrame>
      <xdr:nvGraphicFramePr>
        <xdr:cNvPr id="31" name="Chart 119"/>
        <xdr:cNvGraphicFramePr/>
      </xdr:nvGraphicFramePr>
      <xdr:xfrm>
        <a:off x="11506200" y="809625"/>
        <a:ext cx="0" cy="45434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G65" sqref="G65"/>
    </sheetView>
  </sheetViews>
  <sheetFormatPr defaultColWidth="9.140625" defaultRowHeight="12.75" outlineLevelRow="2"/>
  <cols>
    <col min="1" max="1" width="21.7109375" style="0" customWidth="1"/>
    <col min="2" max="6" width="9.28125" style="0" bestFit="1" customWidth="1"/>
    <col min="7" max="10" width="9.7109375" style="0" bestFit="1" customWidth="1"/>
    <col min="11" max="11" width="9.28125" style="0" bestFit="1" customWidth="1"/>
  </cols>
  <sheetData>
    <row r="1" spans="1:3" s="32" customFormat="1" ht="12.75">
      <c r="A1" s="26" t="s">
        <v>38</v>
      </c>
      <c r="B1" s="27"/>
      <c r="C1" s="28"/>
    </row>
    <row r="3" spans="1:12" s="12" customFormat="1" ht="12.75">
      <c r="A3" s="1" t="s">
        <v>0</v>
      </c>
      <c r="B3" s="5">
        <v>1992</v>
      </c>
      <c r="C3" s="1">
        <f>B3+1</f>
        <v>1993</v>
      </c>
      <c r="D3" s="1">
        <f aca="true" t="shared" si="0" ref="D3:K3">C3+1</f>
        <v>1994</v>
      </c>
      <c r="E3" s="1">
        <f t="shared" si="0"/>
        <v>1995</v>
      </c>
      <c r="F3" s="1">
        <f t="shared" si="0"/>
        <v>1996</v>
      </c>
      <c r="G3" s="1">
        <f t="shared" si="0"/>
        <v>1997</v>
      </c>
      <c r="H3" s="1">
        <f t="shared" si="0"/>
        <v>1998</v>
      </c>
      <c r="I3" s="1">
        <f t="shared" si="0"/>
        <v>1999</v>
      </c>
      <c r="J3" s="1">
        <f t="shared" si="0"/>
        <v>2000</v>
      </c>
      <c r="K3" s="1">
        <f t="shared" si="0"/>
        <v>2001</v>
      </c>
      <c r="L3" s="1" t="s">
        <v>234</v>
      </c>
    </row>
    <row r="4" spans="1:12" ht="12.75" outlineLevel="2">
      <c r="A4" s="4" t="s">
        <v>13</v>
      </c>
      <c r="B4" s="8">
        <v>17120</v>
      </c>
      <c r="C4" s="8">
        <v>19840</v>
      </c>
      <c r="D4" s="8">
        <v>36380</v>
      </c>
      <c r="E4" s="8">
        <v>40000</v>
      </c>
      <c r="F4" s="8"/>
      <c r="G4" s="8"/>
      <c r="H4" s="8"/>
      <c r="I4" s="8"/>
      <c r="J4" s="8"/>
      <c r="K4" s="8"/>
      <c r="L4" s="8">
        <v>51720</v>
      </c>
    </row>
    <row r="5" spans="1:12" ht="12.75" outlineLevel="2">
      <c r="A5" s="62" t="s">
        <v>106</v>
      </c>
      <c r="B5" s="8">
        <f>B10-4420</f>
        <v>12700</v>
      </c>
      <c r="C5" s="8">
        <f>C10-6000</f>
        <v>13840</v>
      </c>
      <c r="D5" s="8">
        <f>D10-8000</f>
        <v>28380</v>
      </c>
      <c r="E5" s="8">
        <f>E10-8000</f>
        <v>32000</v>
      </c>
      <c r="F5" s="8"/>
      <c r="G5" s="8"/>
      <c r="H5" s="8"/>
      <c r="I5" s="8"/>
      <c r="J5" s="8"/>
      <c r="K5" s="8"/>
      <c r="L5" s="8"/>
    </row>
    <row r="6" spans="1:12" ht="12.75" outlineLevel="2">
      <c r="A6" s="62" t="s">
        <v>21</v>
      </c>
      <c r="B6" s="8">
        <f>4000+4420</f>
        <v>8420</v>
      </c>
      <c r="C6" s="8">
        <f>4340+6000</f>
        <v>10340</v>
      </c>
      <c r="D6" s="8">
        <f>9980+8000</f>
        <v>17980</v>
      </c>
      <c r="E6" s="8">
        <f>12000+8000</f>
        <v>20000</v>
      </c>
      <c r="F6" s="8"/>
      <c r="G6" s="8"/>
      <c r="H6" s="8"/>
      <c r="I6" s="8"/>
      <c r="J6" s="8"/>
      <c r="K6" s="8"/>
      <c r="L6" s="8"/>
    </row>
    <row r="7" spans="1:12" ht="12.75" outlineLevel="2">
      <c r="A7" s="4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 outlineLevel="2">
      <c r="A8" s="4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 outlineLevel="2">
      <c r="A9" s="4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 outlineLevel="2">
      <c r="A10" s="3" t="s">
        <v>2</v>
      </c>
      <c r="B10" s="45">
        <f>B4+B7+B8+B9</f>
        <v>17120</v>
      </c>
      <c r="C10" s="45">
        <f aca="true" t="shared" si="1" ref="C10:L10">C4+C7+C8+C9</f>
        <v>19840</v>
      </c>
      <c r="D10" s="45">
        <f t="shared" si="1"/>
        <v>36380</v>
      </c>
      <c r="E10" s="45">
        <f t="shared" si="1"/>
        <v>40000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51720</v>
      </c>
    </row>
    <row r="11" spans="1:12" ht="12.75" outlineLevel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 outlineLevel="2">
      <c r="A12" s="38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 outlineLevel="2">
      <c r="A13" s="38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 outlineLevel="2">
      <c r="A14" s="38" t="s">
        <v>31</v>
      </c>
      <c r="B14" s="8">
        <v>200</v>
      </c>
      <c r="C14" s="8">
        <v>300</v>
      </c>
      <c r="D14" s="8">
        <v>560</v>
      </c>
      <c r="E14" s="8">
        <v>600</v>
      </c>
      <c r="F14" s="8"/>
      <c r="G14" s="8"/>
      <c r="H14" s="8"/>
      <c r="I14" s="8"/>
      <c r="J14" s="8"/>
      <c r="K14" s="8"/>
      <c r="L14" s="8">
        <v>600</v>
      </c>
    </row>
    <row r="15" spans="1:12" ht="12.75" outlineLevel="2">
      <c r="A15" s="4" t="s">
        <v>42</v>
      </c>
      <c r="B15" s="34">
        <f>SUM(B12:B14)</f>
        <v>200</v>
      </c>
      <c r="C15" s="34">
        <f aca="true" t="shared" si="2" ref="C15:L15">SUM(C12:C14)</f>
        <v>300</v>
      </c>
      <c r="D15" s="34">
        <f t="shared" si="2"/>
        <v>560</v>
      </c>
      <c r="E15" s="34">
        <f t="shared" si="2"/>
        <v>600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600</v>
      </c>
    </row>
    <row r="16" spans="1:12" ht="12.75" outlineLevel="2">
      <c r="A16" s="4" t="s">
        <v>3</v>
      </c>
      <c r="B16" s="8">
        <v>180</v>
      </c>
      <c r="C16" s="8">
        <v>200</v>
      </c>
      <c r="D16" s="8">
        <v>800</v>
      </c>
      <c r="E16" s="8">
        <v>1200</v>
      </c>
      <c r="F16" s="8"/>
      <c r="G16" s="8"/>
      <c r="H16" s="8"/>
      <c r="I16" s="8"/>
      <c r="J16" s="8"/>
      <c r="K16" s="8"/>
      <c r="L16" s="8">
        <v>1200</v>
      </c>
    </row>
    <row r="17" spans="1:12" ht="12.75" outlineLevel="2">
      <c r="A17" s="4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 outlineLevel="2">
      <c r="A18" s="4" t="s">
        <v>40</v>
      </c>
      <c r="B18" s="8">
        <v>400</v>
      </c>
      <c r="C18" s="8">
        <v>200</v>
      </c>
      <c r="D18" s="8">
        <v>180</v>
      </c>
      <c r="E18" s="8">
        <v>200</v>
      </c>
      <c r="F18" s="8"/>
      <c r="G18" s="8"/>
      <c r="H18" s="8"/>
      <c r="I18" s="8"/>
      <c r="J18" s="8"/>
      <c r="K18" s="8"/>
      <c r="L18" s="8">
        <v>600</v>
      </c>
    </row>
    <row r="19" spans="1:12" ht="12.75" outlineLevel="2">
      <c r="A19" s="4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 outlineLevel="2">
      <c r="A20" s="4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 outlineLevel="2">
      <c r="A21" s="4" t="s">
        <v>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 outlineLevel="2">
      <c r="A22" s="3" t="s">
        <v>4</v>
      </c>
      <c r="B22" s="45">
        <f>B15+SUM(B16:B21)</f>
        <v>780</v>
      </c>
      <c r="C22" s="45">
        <f aca="true" t="shared" si="3" ref="C22:L22">C15+SUM(C16:C21)</f>
        <v>700</v>
      </c>
      <c r="D22" s="45">
        <f t="shared" si="3"/>
        <v>1540</v>
      </c>
      <c r="E22" s="45">
        <f t="shared" si="3"/>
        <v>2000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2400</v>
      </c>
    </row>
    <row r="23" spans="1:12" ht="12.75" outlineLevel="1">
      <c r="A23" s="3" t="s">
        <v>93</v>
      </c>
      <c r="B23" s="35">
        <f>B24-B32</f>
        <v>13900</v>
      </c>
      <c r="C23" s="35">
        <f aca="true" t="shared" si="4" ref="C23:L23">C24-C32</f>
        <v>15340</v>
      </c>
      <c r="D23" s="35">
        <f t="shared" si="4"/>
        <v>30520</v>
      </c>
      <c r="E23" s="35">
        <f t="shared" si="4"/>
        <v>32000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0</v>
      </c>
      <c r="J23" s="35">
        <f t="shared" si="4"/>
        <v>0</v>
      </c>
      <c r="K23" s="35">
        <f t="shared" si="4"/>
        <v>0</v>
      </c>
      <c r="L23" s="35">
        <f t="shared" si="4"/>
        <v>40195</v>
      </c>
    </row>
    <row r="24" spans="1:12" ht="12.75" outlineLevel="1">
      <c r="A24" s="3" t="s">
        <v>94</v>
      </c>
      <c r="B24" s="35">
        <f aca="true" t="shared" si="5" ref="B24:L24">B10+B22</f>
        <v>17900</v>
      </c>
      <c r="C24" s="35">
        <f t="shared" si="5"/>
        <v>20540</v>
      </c>
      <c r="D24" s="35">
        <f t="shared" si="5"/>
        <v>37920</v>
      </c>
      <c r="E24" s="35">
        <f t="shared" si="5"/>
        <v>42000</v>
      </c>
      <c r="F24" s="35">
        <f t="shared" si="5"/>
        <v>0</v>
      </c>
      <c r="G24" s="35">
        <f t="shared" si="5"/>
        <v>0</v>
      </c>
      <c r="H24" s="35">
        <f t="shared" si="5"/>
        <v>0</v>
      </c>
      <c r="I24" s="35">
        <f t="shared" si="5"/>
        <v>0</v>
      </c>
      <c r="J24" s="35">
        <f t="shared" si="5"/>
        <v>0</v>
      </c>
      <c r="K24" s="35">
        <f t="shared" si="5"/>
        <v>0</v>
      </c>
      <c r="L24" s="35">
        <f t="shared" si="5"/>
        <v>54120</v>
      </c>
    </row>
    <row r="26" spans="1:12" s="12" customFormat="1" ht="12.75">
      <c r="A26" s="1" t="s">
        <v>1</v>
      </c>
      <c r="B26" s="1">
        <f>B3</f>
        <v>1992</v>
      </c>
      <c r="C26" s="1">
        <f aca="true" t="shared" si="6" ref="C26:L26">C3</f>
        <v>1993</v>
      </c>
      <c r="D26" s="1">
        <f t="shared" si="6"/>
        <v>1994</v>
      </c>
      <c r="E26" s="1">
        <f t="shared" si="6"/>
        <v>1995</v>
      </c>
      <c r="F26" s="1">
        <f t="shared" si="6"/>
        <v>1996</v>
      </c>
      <c r="G26" s="1">
        <f t="shared" si="6"/>
        <v>1997</v>
      </c>
      <c r="H26" s="1">
        <f t="shared" si="6"/>
        <v>1998</v>
      </c>
      <c r="I26" s="1">
        <f t="shared" si="6"/>
        <v>1999</v>
      </c>
      <c r="J26" s="1">
        <f t="shared" si="6"/>
        <v>2000</v>
      </c>
      <c r="K26" s="1">
        <f t="shared" si="6"/>
        <v>2001</v>
      </c>
      <c r="L26" s="1" t="str">
        <f t="shared" si="6"/>
        <v>PREV</v>
      </c>
    </row>
    <row r="27" spans="1:12" ht="12.75" outlineLevel="2">
      <c r="A27" s="2" t="s">
        <v>5</v>
      </c>
      <c r="B27" s="8">
        <v>2400</v>
      </c>
      <c r="C27" s="8">
        <v>2400</v>
      </c>
      <c r="D27" s="8">
        <v>2400</v>
      </c>
      <c r="E27" s="8">
        <v>2400</v>
      </c>
      <c r="F27" s="8"/>
      <c r="G27" s="8"/>
      <c r="H27" s="8"/>
      <c r="I27" s="8"/>
      <c r="J27" s="8"/>
      <c r="K27" s="8"/>
      <c r="L27" s="8">
        <v>2400</v>
      </c>
    </row>
    <row r="28" spans="1:12" ht="12.75" outlineLevel="2">
      <c r="A28" s="2" t="s">
        <v>24</v>
      </c>
      <c r="B28" s="8">
        <v>3800</v>
      </c>
      <c r="C28" s="8">
        <v>6000</v>
      </c>
      <c r="D28" s="8">
        <v>8800</v>
      </c>
      <c r="E28" s="8">
        <v>11600</v>
      </c>
      <c r="F28" s="8"/>
      <c r="G28" s="8"/>
      <c r="H28" s="8"/>
      <c r="I28" s="8"/>
      <c r="J28" s="8"/>
      <c r="K28" s="8"/>
      <c r="L28" s="8">
        <v>11600</v>
      </c>
    </row>
    <row r="29" spans="1:12" ht="12.75" outlineLevel="2">
      <c r="A29" s="2" t="s">
        <v>43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 outlineLevel="2">
      <c r="A30" s="37" t="s">
        <v>6</v>
      </c>
      <c r="B30" s="45">
        <f aca="true" t="shared" si="7" ref="B30:L30">SUM(B27:B29)</f>
        <v>6200</v>
      </c>
      <c r="C30" s="45">
        <f t="shared" si="7"/>
        <v>8400</v>
      </c>
      <c r="D30" s="45">
        <f t="shared" si="7"/>
        <v>11200</v>
      </c>
      <c r="E30" s="45">
        <f t="shared" si="7"/>
        <v>14000</v>
      </c>
      <c r="F30" s="45">
        <f t="shared" si="7"/>
        <v>0</v>
      </c>
      <c r="G30" s="45">
        <f t="shared" si="7"/>
        <v>0</v>
      </c>
      <c r="H30" s="45">
        <f t="shared" si="7"/>
        <v>0</v>
      </c>
      <c r="I30" s="45">
        <f t="shared" si="7"/>
        <v>0</v>
      </c>
      <c r="J30" s="45">
        <f t="shared" si="7"/>
        <v>0</v>
      </c>
      <c r="K30" s="45">
        <f t="shared" si="7"/>
        <v>0</v>
      </c>
      <c r="L30" s="45">
        <f t="shared" si="7"/>
        <v>14000</v>
      </c>
    </row>
    <row r="31" ht="12.75" outlineLevel="1"/>
    <row r="32" spans="1:12" ht="12.75" outlineLevel="2">
      <c r="A32" s="37" t="s">
        <v>82</v>
      </c>
      <c r="B32" s="8">
        <v>4000</v>
      </c>
      <c r="C32" s="8">
        <v>5200</v>
      </c>
      <c r="D32" s="8">
        <v>7400</v>
      </c>
      <c r="E32" s="8">
        <v>10000</v>
      </c>
      <c r="F32" s="8"/>
      <c r="G32" s="8"/>
      <c r="H32" s="8"/>
      <c r="I32" s="8"/>
      <c r="J32" s="8"/>
      <c r="K32" s="8"/>
      <c r="L32" s="8">
        <v>13925</v>
      </c>
    </row>
    <row r="33" ht="12.75" outlineLevel="1"/>
    <row r="34" spans="1:12" ht="12.75" outlineLevel="2">
      <c r="A34" s="2" t="s">
        <v>43</v>
      </c>
      <c r="B34" s="8">
        <v>6000</v>
      </c>
      <c r="C34" s="8">
        <v>5000</v>
      </c>
      <c r="D34" s="8">
        <v>4000</v>
      </c>
      <c r="E34" s="8">
        <v>3000</v>
      </c>
      <c r="F34" s="8"/>
      <c r="G34" s="8"/>
      <c r="H34" s="8"/>
      <c r="I34" s="8"/>
      <c r="J34" s="8"/>
      <c r="K34" s="8"/>
      <c r="L34" s="8">
        <v>2000</v>
      </c>
    </row>
    <row r="35" spans="1:12" ht="12.75" outlineLevel="2">
      <c r="A35" s="37" t="s">
        <v>44</v>
      </c>
      <c r="B35" s="45">
        <f>SUM(B34)</f>
        <v>6000</v>
      </c>
      <c r="C35" s="45">
        <f aca="true" t="shared" si="8" ref="C35:L35">SUM(C34)</f>
        <v>5000</v>
      </c>
      <c r="D35" s="45">
        <f t="shared" si="8"/>
        <v>4000</v>
      </c>
      <c r="E35" s="45">
        <f t="shared" si="8"/>
        <v>3000</v>
      </c>
      <c r="F35" s="45">
        <f t="shared" si="8"/>
        <v>0</v>
      </c>
      <c r="G35" s="45">
        <f t="shared" si="8"/>
        <v>0</v>
      </c>
      <c r="H35" s="45">
        <f t="shared" si="8"/>
        <v>0</v>
      </c>
      <c r="I35" s="45">
        <f t="shared" si="8"/>
        <v>0</v>
      </c>
      <c r="J35" s="45">
        <f t="shared" si="8"/>
        <v>0</v>
      </c>
      <c r="K35" s="45">
        <f t="shared" si="8"/>
        <v>0</v>
      </c>
      <c r="L35" s="45">
        <f t="shared" si="8"/>
        <v>2000</v>
      </c>
    </row>
    <row r="36" ht="12.75" outlineLevel="1"/>
    <row r="37" spans="1:12" ht="12.75" outlineLevel="2">
      <c r="A37" s="2" t="s">
        <v>48</v>
      </c>
      <c r="B37" s="8">
        <v>1000</v>
      </c>
      <c r="C37" s="8">
        <v>1000</v>
      </c>
      <c r="D37" s="8">
        <v>13000</v>
      </c>
      <c r="E37" s="8">
        <f>5850+5850+1000</f>
        <v>12700</v>
      </c>
      <c r="F37" s="8"/>
      <c r="G37" s="8"/>
      <c r="H37" s="8"/>
      <c r="I37" s="8"/>
      <c r="J37" s="8"/>
      <c r="K37" s="8"/>
      <c r="L37" s="8">
        <f>0+0+1000</f>
        <v>1000</v>
      </c>
    </row>
    <row r="38" spans="1:12" ht="12.75" outlineLevel="2">
      <c r="A38" s="2" t="s">
        <v>32</v>
      </c>
      <c r="B38" s="8">
        <v>24</v>
      </c>
      <c r="C38" s="8">
        <v>34</v>
      </c>
      <c r="D38" s="8">
        <v>120</v>
      </c>
      <c r="E38" s="8">
        <v>80</v>
      </c>
      <c r="F38" s="8"/>
      <c r="G38" s="8"/>
      <c r="H38" s="8"/>
      <c r="I38" s="8"/>
      <c r="J38" s="8"/>
      <c r="K38" s="8"/>
      <c r="L38" s="8">
        <v>253.6</v>
      </c>
    </row>
    <row r="39" spans="1:12" ht="12.75" outlineLevel="2">
      <c r="A39" s="39" t="s">
        <v>45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 outlineLevel="2">
      <c r="A40" s="39" t="s">
        <v>51</v>
      </c>
      <c r="B40" s="8">
        <v>600</v>
      </c>
      <c r="C40" s="8">
        <v>800</v>
      </c>
      <c r="D40" s="8">
        <v>1200</v>
      </c>
      <c r="E40" s="8">
        <v>1200</v>
      </c>
      <c r="F40" s="8"/>
      <c r="G40" s="8"/>
      <c r="H40" s="8"/>
      <c r="I40" s="8"/>
      <c r="J40" s="8"/>
      <c r="K40" s="8"/>
      <c r="L40" s="8">
        <v>1200</v>
      </c>
    </row>
    <row r="41" spans="1:12" ht="12.75" outlineLevel="2">
      <c r="A41" s="2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outlineLevel="2">
      <c r="A42" s="2" t="s">
        <v>49</v>
      </c>
      <c r="B42" s="11">
        <f>B20</f>
        <v>0</v>
      </c>
      <c r="C42" s="11">
        <f aca="true" t="shared" si="9" ref="C42:L42">C20</f>
        <v>0</v>
      </c>
      <c r="D42" s="11">
        <f t="shared" si="9"/>
        <v>0</v>
      </c>
      <c r="E42" s="11">
        <f t="shared" si="9"/>
        <v>0</v>
      </c>
      <c r="F42" s="11">
        <f t="shared" si="9"/>
        <v>0</v>
      </c>
      <c r="G42" s="11">
        <f t="shared" si="9"/>
        <v>0</v>
      </c>
      <c r="H42" s="11">
        <f t="shared" si="9"/>
        <v>0</v>
      </c>
      <c r="I42" s="11">
        <f t="shared" si="9"/>
        <v>0</v>
      </c>
      <c r="J42" s="11">
        <f t="shared" si="9"/>
        <v>0</v>
      </c>
      <c r="K42" s="11">
        <f t="shared" si="9"/>
        <v>0</v>
      </c>
      <c r="L42" s="11">
        <f t="shared" si="9"/>
        <v>0</v>
      </c>
    </row>
    <row r="43" spans="1:12" ht="12.75" outlineLevel="2">
      <c r="A43" s="2" t="s">
        <v>43</v>
      </c>
      <c r="B43" s="8">
        <v>76</v>
      </c>
      <c r="C43" s="8">
        <v>106</v>
      </c>
      <c r="D43" s="8">
        <v>1000</v>
      </c>
      <c r="E43" s="8">
        <v>1020</v>
      </c>
      <c r="F43" s="8"/>
      <c r="G43" s="8"/>
      <c r="H43" s="8"/>
      <c r="I43" s="8"/>
      <c r="J43" s="8"/>
      <c r="K43" s="8"/>
      <c r="L43" s="8">
        <f>0+247+20</f>
        <v>267</v>
      </c>
    </row>
    <row r="44" spans="1:12" ht="12.75" outlineLevel="2">
      <c r="A44" s="61" t="s">
        <v>109</v>
      </c>
      <c r="B44" s="8">
        <v>24</v>
      </c>
      <c r="C44" s="8">
        <v>34</v>
      </c>
      <c r="D44" s="8">
        <v>120</v>
      </c>
      <c r="E44" s="8">
        <v>80</v>
      </c>
      <c r="F44" s="8"/>
      <c r="G44" s="8"/>
      <c r="H44" s="8"/>
      <c r="I44" s="8"/>
      <c r="J44" s="8"/>
      <c r="K44" s="8"/>
      <c r="L44" s="8"/>
    </row>
    <row r="45" spans="1:12" ht="12.75" outlineLevel="2">
      <c r="A45" s="37" t="s">
        <v>50</v>
      </c>
      <c r="B45" s="45">
        <f>SUM(B37:B43)</f>
        <v>1700</v>
      </c>
      <c r="C45" s="45">
        <f aca="true" t="shared" si="10" ref="C45:L45">SUM(C37:C43)</f>
        <v>1940</v>
      </c>
      <c r="D45" s="45">
        <f t="shared" si="10"/>
        <v>15320</v>
      </c>
      <c r="E45" s="45">
        <f t="shared" si="10"/>
        <v>15000</v>
      </c>
      <c r="F45" s="45">
        <f t="shared" si="10"/>
        <v>0</v>
      </c>
      <c r="G45" s="45">
        <f t="shared" si="10"/>
        <v>0</v>
      </c>
      <c r="H45" s="45">
        <f t="shared" si="10"/>
        <v>0</v>
      </c>
      <c r="I45" s="45">
        <f t="shared" si="10"/>
        <v>0</v>
      </c>
      <c r="J45" s="45">
        <f t="shared" si="10"/>
        <v>0</v>
      </c>
      <c r="K45" s="45">
        <f t="shared" si="10"/>
        <v>0</v>
      </c>
      <c r="L45" s="45">
        <f t="shared" si="10"/>
        <v>2720.6</v>
      </c>
    </row>
    <row r="46" spans="1:12" ht="12.75" outlineLevel="1">
      <c r="A46" s="3" t="s">
        <v>83</v>
      </c>
      <c r="B46" s="35">
        <f>B47-B32</f>
        <v>13900</v>
      </c>
      <c r="C46" s="35">
        <f aca="true" t="shared" si="11" ref="C46:L46">C47-C32</f>
        <v>15340</v>
      </c>
      <c r="D46" s="35">
        <f t="shared" si="11"/>
        <v>30520</v>
      </c>
      <c r="E46" s="35">
        <f t="shared" si="11"/>
        <v>32000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si="11"/>
        <v>0</v>
      </c>
      <c r="K46" s="35">
        <f t="shared" si="11"/>
        <v>0</v>
      </c>
      <c r="L46" s="35">
        <f t="shared" si="11"/>
        <v>18720.6</v>
      </c>
    </row>
    <row r="47" spans="1:12" ht="12.75" outlineLevel="1">
      <c r="A47" s="3" t="s">
        <v>102</v>
      </c>
      <c r="B47" s="35">
        <f aca="true" t="shared" si="12" ref="B47:L47">B30++B32+B35+B45</f>
        <v>17900</v>
      </c>
      <c r="C47" s="35">
        <f t="shared" si="12"/>
        <v>20540</v>
      </c>
      <c r="D47" s="35">
        <f t="shared" si="12"/>
        <v>37920</v>
      </c>
      <c r="E47" s="35">
        <f t="shared" si="12"/>
        <v>42000</v>
      </c>
      <c r="F47" s="35">
        <f t="shared" si="12"/>
        <v>0</v>
      </c>
      <c r="G47" s="35">
        <f t="shared" si="12"/>
        <v>0</v>
      </c>
      <c r="H47" s="35">
        <f t="shared" si="12"/>
        <v>0</v>
      </c>
      <c r="I47" s="35">
        <f t="shared" si="12"/>
        <v>0</v>
      </c>
      <c r="J47" s="35">
        <f t="shared" si="12"/>
        <v>0</v>
      </c>
      <c r="K47" s="35">
        <f t="shared" si="12"/>
        <v>0</v>
      </c>
      <c r="L47" s="35">
        <f t="shared" si="12"/>
        <v>32645.6</v>
      </c>
    </row>
    <row r="50" spans="1:12" s="12" customFormat="1" ht="12.75">
      <c r="A50" s="1" t="s">
        <v>52</v>
      </c>
      <c r="B50" s="1">
        <f>B26</f>
        <v>1992</v>
      </c>
      <c r="C50" s="1">
        <f aca="true" t="shared" si="13" ref="C50:L50">C26</f>
        <v>1993</v>
      </c>
      <c r="D50" s="1">
        <f t="shared" si="13"/>
        <v>1994</v>
      </c>
      <c r="E50" s="1">
        <f t="shared" si="13"/>
        <v>1995</v>
      </c>
      <c r="F50" s="1">
        <f t="shared" si="13"/>
        <v>1996</v>
      </c>
      <c r="G50" s="1">
        <f t="shared" si="13"/>
        <v>1997</v>
      </c>
      <c r="H50" s="1">
        <f t="shared" si="13"/>
        <v>1998</v>
      </c>
      <c r="I50" s="1">
        <f t="shared" si="13"/>
        <v>1999</v>
      </c>
      <c r="J50" s="1">
        <f t="shared" si="13"/>
        <v>2000</v>
      </c>
      <c r="K50" s="1">
        <f t="shared" si="13"/>
        <v>2001</v>
      </c>
      <c r="L50" s="1" t="str">
        <f t="shared" si="13"/>
        <v>PREV</v>
      </c>
    </row>
    <row r="51" spans="1:12" ht="12.75" outlineLevel="1">
      <c r="A51" s="22" t="s">
        <v>53</v>
      </c>
      <c r="B51" s="8">
        <v>30</v>
      </c>
      <c r="C51" s="8">
        <v>60</v>
      </c>
      <c r="D51" s="8">
        <v>360</v>
      </c>
      <c r="E51" s="8">
        <v>400</v>
      </c>
      <c r="F51" s="8"/>
      <c r="G51" s="8"/>
      <c r="H51" s="8"/>
      <c r="I51" s="8"/>
      <c r="J51" s="8"/>
      <c r="K51" s="8"/>
      <c r="L51" s="8"/>
    </row>
    <row r="52" spans="1:12" ht="12.75" outlineLevel="1">
      <c r="A52" s="22" t="s">
        <v>54</v>
      </c>
      <c r="B52" s="8">
        <v>11970</v>
      </c>
      <c r="C52" s="8">
        <v>15940</v>
      </c>
      <c r="D52" s="8">
        <v>20040</v>
      </c>
      <c r="E52" s="8">
        <v>23600</v>
      </c>
      <c r="F52" s="8"/>
      <c r="G52" s="8"/>
      <c r="H52" s="8"/>
      <c r="I52" s="8"/>
      <c r="J52" s="8"/>
      <c r="K52" s="8"/>
      <c r="L52" s="8"/>
    </row>
    <row r="53" spans="1:12" ht="12.75" outlineLevel="1">
      <c r="A53" s="37" t="s">
        <v>55</v>
      </c>
      <c r="B53" s="45">
        <f>SUM(B51:B52)</f>
        <v>12000</v>
      </c>
      <c r="C53" s="45">
        <f aca="true" t="shared" si="14" ref="C53:L53">SUM(C51:C52)</f>
        <v>16000</v>
      </c>
      <c r="D53" s="45">
        <f t="shared" si="14"/>
        <v>20400</v>
      </c>
      <c r="E53" s="45">
        <f t="shared" si="14"/>
        <v>24000</v>
      </c>
      <c r="F53" s="45">
        <f t="shared" si="14"/>
        <v>0</v>
      </c>
      <c r="G53" s="45">
        <f t="shared" si="14"/>
        <v>0</v>
      </c>
      <c r="H53" s="45">
        <f t="shared" si="14"/>
        <v>0</v>
      </c>
      <c r="I53" s="45">
        <f t="shared" si="14"/>
        <v>0</v>
      </c>
      <c r="J53" s="45">
        <f t="shared" si="14"/>
        <v>0</v>
      </c>
      <c r="K53" s="45">
        <f t="shared" si="14"/>
        <v>0</v>
      </c>
      <c r="L53" s="45">
        <f t="shared" si="14"/>
        <v>0</v>
      </c>
    </row>
    <row r="54" ht="12.75" outlineLevel="1" collapsed="1"/>
    <row r="55" spans="1:12" ht="12.75" outlineLevel="2">
      <c r="A55" s="22" t="s">
        <v>99</v>
      </c>
      <c r="B55" s="8">
        <v>254</v>
      </c>
      <c r="C55" s="8">
        <v>340</v>
      </c>
      <c r="D55" s="8">
        <v>666</v>
      </c>
      <c r="E55" s="8">
        <v>800</v>
      </c>
      <c r="F55" s="8"/>
      <c r="G55" s="8"/>
      <c r="H55" s="8"/>
      <c r="I55" s="8"/>
      <c r="J55" s="8"/>
      <c r="K55" s="8"/>
      <c r="L55" s="8"/>
    </row>
    <row r="56" spans="1:12" ht="12.75" outlineLevel="2">
      <c r="A56" s="37" t="s">
        <v>56</v>
      </c>
      <c r="B56" s="45">
        <f>SUM(B55)</f>
        <v>254</v>
      </c>
      <c r="C56" s="45">
        <f aca="true" t="shared" si="15" ref="C56:L56">SUM(C55)</f>
        <v>340</v>
      </c>
      <c r="D56" s="45">
        <f t="shared" si="15"/>
        <v>666</v>
      </c>
      <c r="E56" s="45">
        <f t="shared" si="15"/>
        <v>800</v>
      </c>
      <c r="F56" s="45">
        <f t="shared" si="15"/>
        <v>0</v>
      </c>
      <c r="G56" s="45">
        <f t="shared" si="15"/>
        <v>0</v>
      </c>
      <c r="H56" s="45">
        <f t="shared" si="15"/>
        <v>0</v>
      </c>
      <c r="I56" s="45">
        <f t="shared" si="15"/>
        <v>0</v>
      </c>
      <c r="J56" s="45">
        <f t="shared" si="15"/>
        <v>0</v>
      </c>
      <c r="K56" s="45">
        <f t="shared" si="15"/>
        <v>0</v>
      </c>
      <c r="L56" s="45">
        <f t="shared" si="15"/>
        <v>0</v>
      </c>
    </row>
    <row r="57" spans="1:12" ht="12.75" outlineLevel="2">
      <c r="A57" s="46" t="s">
        <v>57</v>
      </c>
      <c r="B57" s="47">
        <f>B53-B56</f>
        <v>11746</v>
      </c>
      <c r="C57" s="47">
        <f aca="true" t="shared" si="16" ref="C57:L57">C53-C56</f>
        <v>15660</v>
      </c>
      <c r="D57" s="47">
        <f t="shared" si="16"/>
        <v>19734</v>
      </c>
      <c r="E57" s="47">
        <f t="shared" si="16"/>
        <v>23200</v>
      </c>
      <c r="F57" s="47">
        <f t="shared" si="16"/>
        <v>0</v>
      </c>
      <c r="G57" s="47">
        <f t="shared" si="16"/>
        <v>0</v>
      </c>
      <c r="H57" s="47">
        <f t="shared" si="16"/>
        <v>0</v>
      </c>
      <c r="I57" s="47">
        <f t="shared" si="16"/>
        <v>0</v>
      </c>
      <c r="J57" s="47">
        <f t="shared" si="16"/>
        <v>0</v>
      </c>
      <c r="K57" s="47">
        <f t="shared" si="16"/>
        <v>0</v>
      </c>
      <c r="L57" s="47">
        <f t="shared" si="16"/>
        <v>0</v>
      </c>
    </row>
    <row r="58" ht="12.75" outlineLevel="1"/>
    <row r="59" spans="1:12" ht="12.75" outlineLevel="2">
      <c r="A59" s="48" t="s">
        <v>58</v>
      </c>
      <c r="B59" s="8">
        <v>5660</v>
      </c>
      <c r="C59" s="8">
        <v>6760</v>
      </c>
      <c r="D59" s="8">
        <v>6070</v>
      </c>
      <c r="E59" s="8">
        <v>8320</v>
      </c>
      <c r="F59" s="8"/>
      <c r="G59" s="8"/>
      <c r="H59" s="8"/>
      <c r="I59" s="8"/>
      <c r="J59" s="8"/>
      <c r="K59" s="8"/>
      <c r="L59" s="8"/>
    </row>
    <row r="60" spans="1:12" ht="12.75" outlineLevel="2">
      <c r="A60" s="22" t="s">
        <v>59</v>
      </c>
      <c r="B60" s="8">
        <v>1000</v>
      </c>
      <c r="C60" s="8">
        <v>1200</v>
      </c>
      <c r="D60" s="8">
        <v>2200</v>
      </c>
      <c r="E60" s="8">
        <v>2600</v>
      </c>
      <c r="F60" s="8"/>
      <c r="G60" s="8"/>
      <c r="H60" s="8"/>
      <c r="I60" s="8"/>
      <c r="J60" s="8"/>
      <c r="K60" s="8"/>
      <c r="L60" s="8"/>
    </row>
    <row r="61" spans="1:12" ht="12.75" outlineLevel="2">
      <c r="A61" s="22" t="s">
        <v>43</v>
      </c>
      <c r="B61" s="8">
        <f>1100+240+100+46+400</f>
        <v>1886</v>
      </c>
      <c r="C61" s="8">
        <f>120+1300+1200+300+120+60+600</f>
        <v>3700</v>
      </c>
      <c r="D61" s="8">
        <f>200+1600+1600+400+180+84+800</f>
        <v>4864</v>
      </c>
      <c r="E61" s="8">
        <f>280+2000+2000+400+200+100+600</f>
        <v>5580</v>
      </c>
      <c r="F61" s="8"/>
      <c r="G61" s="8"/>
      <c r="H61" s="8"/>
      <c r="I61" s="8"/>
      <c r="J61" s="8"/>
      <c r="K61" s="8"/>
      <c r="L61" s="8"/>
    </row>
    <row r="62" spans="1:12" ht="12.75" outlineLevel="2">
      <c r="A62" s="37" t="s">
        <v>60</v>
      </c>
      <c r="B62" s="45">
        <f>SUM(B59:B61)</f>
        <v>8546</v>
      </c>
      <c r="C62" s="45">
        <f aca="true" t="shared" si="17" ref="C62:L62">SUM(C59:C61)</f>
        <v>11660</v>
      </c>
      <c r="D62" s="45">
        <f t="shared" si="17"/>
        <v>13134</v>
      </c>
      <c r="E62" s="45">
        <f t="shared" si="17"/>
        <v>16500</v>
      </c>
      <c r="F62" s="45">
        <f t="shared" si="17"/>
        <v>0</v>
      </c>
      <c r="G62" s="45">
        <f t="shared" si="17"/>
        <v>0</v>
      </c>
      <c r="H62" s="45">
        <f t="shared" si="17"/>
        <v>0</v>
      </c>
      <c r="I62" s="45">
        <f t="shared" si="17"/>
        <v>0</v>
      </c>
      <c r="J62" s="45">
        <f t="shared" si="17"/>
        <v>0</v>
      </c>
      <c r="K62" s="45">
        <f t="shared" si="17"/>
        <v>0</v>
      </c>
      <c r="L62" s="45">
        <f t="shared" si="17"/>
        <v>0</v>
      </c>
    </row>
    <row r="63" spans="1:12" ht="12.75" outlineLevel="1">
      <c r="A63" s="52" t="s">
        <v>66</v>
      </c>
      <c r="B63" s="47">
        <f aca="true" t="shared" si="18" ref="B63:L63">B57-B62</f>
        <v>3200</v>
      </c>
      <c r="C63" s="47">
        <f t="shared" si="18"/>
        <v>4000</v>
      </c>
      <c r="D63" s="47">
        <f t="shared" si="18"/>
        <v>6600</v>
      </c>
      <c r="E63" s="47">
        <f t="shared" si="18"/>
        <v>6700</v>
      </c>
      <c r="F63" s="47">
        <f t="shared" si="18"/>
        <v>0</v>
      </c>
      <c r="G63" s="47">
        <f t="shared" si="18"/>
        <v>0</v>
      </c>
      <c r="H63" s="47">
        <f t="shared" si="18"/>
        <v>0</v>
      </c>
      <c r="I63" s="47">
        <f t="shared" si="18"/>
        <v>0</v>
      </c>
      <c r="J63" s="47">
        <f t="shared" si="18"/>
        <v>0</v>
      </c>
      <c r="K63" s="47">
        <f t="shared" si="18"/>
        <v>0</v>
      </c>
      <c r="L63" s="47">
        <f t="shared" si="18"/>
        <v>0</v>
      </c>
    </row>
    <row r="64" spans="1:12" ht="12.75" outlineLevel="1">
      <c r="A64" s="70" t="s">
        <v>126</v>
      </c>
      <c r="B64" s="10">
        <f>IF(B53=0,0,B63/B53)</f>
        <v>0.26666666666666666</v>
      </c>
      <c r="C64" s="10">
        <f aca="true" t="shared" si="19" ref="C64:L64">IF(C53=0,0,C63/C53)</f>
        <v>0.25</v>
      </c>
      <c r="D64" s="10">
        <f t="shared" si="19"/>
        <v>0.3235294117647059</v>
      </c>
      <c r="E64" s="10">
        <f t="shared" si="19"/>
        <v>0.2791666666666667</v>
      </c>
      <c r="F64" s="10">
        <f t="shared" si="19"/>
        <v>0</v>
      </c>
      <c r="G64" s="10">
        <f t="shared" si="19"/>
        <v>0</v>
      </c>
      <c r="H64" s="10">
        <f t="shared" si="19"/>
        <v>0</v>
      </c>
      <c r="I64" s="10">
        <f t="shared" si="19"/>
        <v>0</v>
      </c>
      <c r="J64" s="10">
        <f t="shared" si="19"/>
        <v>0</v>
      </c>
      <c r="K64" s="10">
        <f t="shared" si="19"/>
        <v>0</v>
      </c>
      <c r="L64" s="10">
        <f t="shared" si="19"/>
        <v>0</v>
      </c>
    </row>
    <row r="65" spans="1:12" ht="12.75" outlineLevel="1">
      <c r="A65" t="s">
        <v>283</v>
      </c>
      <c r="B65">
        <f>B63+B60</f>
        <v>4200</v>
      </c>
      <c r="C65">
        <f aca="true" t="shared" si="20" ref="C65:L65">C63+C60</f>
        <v>5200</v>
      </c>
      <c r="D65">
        <f t="shared" si="20"/>
        <v>8800</v>
      </c>
      <c r="E65">
        <f t="shared" si="20"/>
        <v>9300</v>
      </c>
      <c r="F65">
        <f t="shared" si="20"/>
        <v>0</v>
      </c>
      <c r="G65">
        <f t="shared" si="20"/>
        <v>0</v>
      </c>
      <c r="H65">
        <f t="shared" si="20"/>
        <v>0</v>
      </c>
      <c r="I65">
        <f t="shared" si="20"/>
        <v>0</v>
      </c>
      <c r="J65">
        <f t="shared" si="20"/>
        <v>0</v>
      </c>
      <c r="K65">
        <f t="shared" si="20"/>
        <v>0</v>
      </c>
      <c r="L65">
        <f t="shared" si="20"/>
        <v>0</v>
      </c>
    </row>
    <row r="66" spans="1:12" ht="12.75" outlineLevel="2">
      <c r="A66" s="49" t="s">
        <v>61</v>
      </c>
      <c r="B66" s="50">
        <v>1200</v>
      </c>
      <c r="C66" s="50">
        <v>1000</v>
      </c>
      <c r="D66" s="50">
        <v>2600</v>
      </c>
      <c r="E66" s="50">
        <v>2700</v>
      </c>
      <c r="F66" s="50"/>
      <c r="G66" s="50"/>
      <c r="H66" s="50"/>
      <c r="I66" s="50"/>
      <c r="J66" s="50"/>
      <c r="K66" s="50"/>
      <c r="L66" s="50"/>
    </row>
    <row r="67" spans="1:12" ht="12.75" outlineLevel="2">
      <c r="A67" s="22" t="s">
        <v>62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2.75" outlineLevel="2">
      <c r="A68" s="22" t="s">
        <v>64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2.75" outlineLevel="2">
      <c r="A69" s="22" t="s">
        <v>65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2.75" outlineLevel="2">
      <c r="A70" s="51" t="s">
        <v>63</v>
      </c>
      <c r="B70" s="45">
        <f>B63-B66+B67+B68-B69</f>
        <v>2000</v>
      </c>
      <c r="C70" s="45">
        <f aca="true" t="shared" si="21" ref="C70:L70">C63-C66+C67+C68-C69</f>
        <v>3000</v>
      </c>
      <c r="D70" s="45">
        <f t="shared" si="21"/>
        <v>4000</v>
      </c>
      <c r="E70" s="45">
        <f t="shared" si="21"/>
        <v>4000</v>
      </c>
      <c r="F70" s="45">
        <f t="shared" si="21"/>
        <v>0</v>
      </c>
      <c r="G70" s="45">
        <f t="shared" si="21"/>
        <v>0</v>
      </c>
      <c r="H70" s="45">
        <f t="shared" si="21"/>
        <v>0</v>
      </c>
      <c r="I70" s="45">
        <f t="shared" si="21"/>
        <v>0</v>
      </c>
      <c r="J70" s="45">
        <f t="shared" si="21"/>
        <v>0</v>
      </c>
      <c r="K70" s="45">
        <f t="shared" si="21"/>
        <v>0</v>
      </c>
      <c r="L70" s="45">
        <f t="shared" si="21"/>
        <v>0</v>
      </c>
    </row>
    <row r="71" ht="12.75" outlineLevel="1"/>
    <row r="72" spans="1:12" ht="12.75" outlineLevel="2">
      <c r="A72" s="22" t="s">
        <v>46</v>
      </c>
      <c r="B72" s="50">
        <v>600</v>
      </c>
      <c r="C72" s="50">
        <v>800</v>
      </c>
      <c r="D72" s="50">
        <v>1200</v>
      </c>
      <c r="E72" s="50">
        <v>1200</v>
      </c>
      <c r="F72" s="50"/>
      <c r="G72" s="50"/>
      <c r="H72" s="50"/>
      <c r="I72" s="50"/>
      <c r="J72" s="50"/>
      <c r="K72" s="50"/>
      <c r="L72" s="50"/>
    </row>
    <row r="73" spans="1:12" ht="12.75" outlineLevel="2">
      <c r="A73" s="22" t="s">
        <v>45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2.75" outlineLevel="2">
      <c r="A74" s="22" t="s">
        <v>24</v>
      </c>
      <c r="B74" s="50">
        <v>1400</v>
      </c>
      <c r="C74" s="50">
        <v>2200</v>
      </c>
      <c r="D74" s="50">
        <v>2800</v>
      </c>
      <c r="E74" s="50">
        <v>2800</v>
      </c>
      <c r="F74" s="50"/>
      <c r="G74" s="50"/>
      <c r="H74" s="50"/>
      <c r="I74" s="50"/>
      <c r="J74" s="50"/>
      <c r="K74" s="50"/>
      <c r="L74" s="50"/>
    </row>
    <row r="75" spans="1:12" ht="12.75" outlineLevel="2">
      <c r="A75" s="51" t="s">
        <v>70</v>
      </c>
      <c r="B75" s="45">
        <f>B70-B72-B73-B74</f>
        <v>0</v>
      </c>
      <c r="C75" s="45">
        <f aca="true" t="shared" si="22" ref="C75:L75">C70-C72-C73-C74</f>
        <v>0</v>
      </c>
      <c r="D75" s="45">
        <f t="shared" si="22"/>
        <v>0</v>
      </c>
      <c r="E75" s="45">
        <f t="shared" si="22"/>
        <v>0</v>
      </c>
      <c r="F75" s="45">
        <f t="shared" si="22"/>
        <v>0</v>
      </c>
      <c r="G75" s="45">
        <f t="shared" si="22"/>
        <v>0</v>
      </c>
      <c r="H75" s="45">
        <f t="shared" si="22"/>
        <v>0</v>
      </c>
      <c r="I75" s="45">
        <f t="shared" si="22"/>
        <v>0</v>
      </c>
      <c r="J75" s="45">
        <f t="shared" si="22"/>
        <v>0</v>
      </c>
      <c r="K75" s="45">
        <f t="shared" si="22"/>
        <v>0</v>
      </c>
      <c r="L75" s="45">
        <f t="shared" si="22"/>
        <v>0</v>
      </c>
    </row>
    <row r="76" spans="1:12" ht="12.75" outlineLevel="2">
      <c r="A76" s="70" t="s">
        <v>127</v>
      </c>
      <c r="B76" s="10">
        <f>IF(B53=0,0,B75/B53)</f>
        <v>0</v>
      </c>
      <c r="C76" s="10">
        <f aca="true" t="shared" si="23" ref="C76:L76">IF(C53=0,0,C75/C53)</f>
        <v>0</v>
      </c>
      <c r="D76" s="10">
        <f t="shared" si="23"/>
        <v>0</v>
      </c>
      <c r="E76" s="10">
        <f t="shared" si="23"/>
        <v>0</v>
      </c>
      <c r="F76" s="10">
        <f t="shared" si="23"/>
        <v>0</v>
      </c>
      <c r="G76" s="10">
        <f t="shared" si="23"/>
        <v>0</v>
      </c>
      <c r="H76" s="10">
        <f t="shared" si="23"/>
        <v>0</v>
      </c>
      <c r="I76" s="10">
        <f t="shared" si="23"/>
        <v>0</v>
      </c>
      <c r="J76" s="10">
        <f t="shared" si="23"/>
        <v>0</v>
      </c>
      <c r="K76" s="10">
        <f t="shared" si="23"/>
        <v>0</v>
      </c>
      <c r="L76" s="10">
        <f t="shared" si="23"/>
        <v>0</v>
      </c>
    </row>
    <row r="77" ht="12.75" outlineLevel="2"/>
    <row r="78" spans="1:11" s="12" customFormat="1" ht="12.75">
      <c r="A78" s="1" t="s">
        <v>100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2" ht="12.75" outlineLevel="2">
      <c r="A79" s="51" t="s">
        <v>27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12.75" outlineLevel="2">
      <c r="A80" t="s">
        <v>91</v>
      </c>
      <c r="B80">
        <f>(1+B79)*B53</f>
        <v>12000</v>
      </c>
      <c r="C80">
        <f aca="true" t="shared" si="24" ref="C80:K80">(1+C79)*C53</f>
        <v>16000</v>
      </c>
      <c r="D80">
        <f t="shared" si="24"/>
        <v>20400</v>
      </c>
      <c r="E80">
        <f t="shared" si="24"/>
        <v>24000</v>
      </c>
      <c r="F80">
        <f t="shared" si="24"/>
        <v>0</v>
      </c>
      <c r="G80">
        <f t="shared" si="24"/>
        <v>0</v>
      </c>
      <c r="H80">
        <f t="shared" si="24"/>
        <v>0</v>
      </c>
      <c r="I80">
        <f t="shared" si="24"/>
        <v>0</v>
      </c>
      <c r="J80">
        <f t="shared" si="24"/>
        <v>0</v>
      </c>
      <c r="K80">
        <f t="shared" si="24"/>
        <v>0</v>
      </c>
      <c r="L80">
        <f>(1+L79)*L53</f>
        <v>0</v>
      </c>
    </row>
    <row r="81" spans="1:12" ht="12.75" outlineLevel="2">
      <c r="A81" t="s">
        <v>92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 outlineLevel="2">
      <c r="A82" s="51" t="s">
        <v>90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5" spans="1:4" s="12" customFormat="1" ht="12.75">
      <c r="A85" s="23" t="s">
        <v>16</v>
      </c>
      <c r="B85" s="24"/>
      <c r="C85" s="25"/>
      <c r="D85" s="24"/>
    </row>
    <row r="86" spans="1:12" ht="12.75">
      <c r="A86" t="s">
        <v>17</v>
      </c>
      <c r="B86" s="10">
        <f>IF(B5=0,0,B32/B5)</f>
        <v>0.31496062992125984</v>
      </c>
      <c r="C86" s="10">
        <f aca="true" t="shared" si="25" ref="C86:L86">IF(C5=0,0,C32/C5)</f>
        <v>0.37572254335260113</v>
      </c>
      <c r="D86" s="10">
        <f t="shared" si="25"/>
        <v>0.2607470049330514</v>
      </c>
      <c r="E86" s="10">
        <f t="shared" si="25"/>
        <v>0.3125</v>
      </c>
      <c r="F86" s="10">
        <f t="shared" si="25"/>
        <v>0</v>
      </c>
      <c r="G86" s="10">
        <f t="shared" si="25"/>
        <v>0</v>
      </c>
      <c r="H86" s="10">
        <f t="shared" si="25"/>
        <v>0</v>
      </c>
      <c r="I86" s="10">
        <f t="shared" si="25"/>
        <v>0</v>
      </c>
      <c r="J86" s="10">
        <f t="shared" si="25"/>
        <v>0</v>
      </c>
      <c r="K86" s="10">
        <f t="shared" si="25"/>
        <v>0</v>
      </c>
      <c r="L86" s="10">
        <f t="shared" si="25"/>
        <v>0</v>
      </c>
    </row>
    <row r="87" spans="1:12" ht="12.75">
      <c r="A87" t="s">
        <v>20</v>
      </c>
      <c r="B87" s="10">
        <f>IF(B10=0,0,B6/B10)</f>
        <v>0.49182242990654207</v>
      </c>
      <c r="C87" s="10">
        <f aca="true" t="shared" si="26" ref="C87:L87">IF(C10=0,0,C6/C10)</f>
        <v>0.5211693548387096</v>
      </c>
      <c r="D87" s="10">
        <f t="shared" si="26"/>
        <v>0.49422759758108853</v>
      </c>
      <c r="E87" s="10">
        <f t="shared" si="26"/>
        <v>0.5</v>
      </c>
      <c r="F87" s="10">
        <f t="shared" si="26"/>
        <v>0</v>
      </c>
      <c r="G87" s="10">
        <f t="shared" si="26"/>
        <v>0</v>
      </c>
      <c r="H87" s="10">
        <f t="shared" si="26"/>
        <v>0</v>
      </c>
      <c r="I87" s="10">
        <f t="shared" si="26"/>
        <v>0</v>
      </c>
      <c r="J87" s="10">
        <f t="shared" si="26"/>
        <v>0</v>
      </c>
      <c r="K87" s="10">
        <f t="shared" si="26"/>
        <v>0</v>
      </c>
      <c r="L87" s="10">
        <f t="shared" si="26"/>
        <v>0</v>
      </c>
    </row>
    <row r="88" spans="1:11" ht="12.75">
      <c r="A88" t="s">
        <v>18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t="s">
        <v>19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1" s="12" customFormat="1" ht="12.75">
      <c r="A91" s="23" t="s">
        <v>22</v>
      </c>
    </row>
    <row r="92" spans="1:12" ht="12.75">
      <c r="A92" t="s">
        <v>12</v>
      </c>
      <c r="B92" s="30">
        <f aca="true" t="shared" si="27" ref="B92:L92">IF(B30=0,0,(B45+B35)/B30)</f>
        <v>1.2419354838709677</v>
      </c>
      <c r="C92" s="30">
        <f t="shared" si="27"/>
        <v>0.8261904761904761</v>
      </c>
      <c r="D92" s="30">
        <f t="shared" si="27"/>
        <v>1.725</v>
      </c>
      <c r="E92" s="30">
        <f t="shared" si="27"/>
        <v>1.2857142857142858</v>
      </c>
      <c r="F92" s="30">
        <f t="shared" si="27"/>
        <v>0</v>
      </c>
      <c r="G92" s="30">
        <f t="shared" si="27"/>
        <v>0</v>
      </c>
      <c r="H92" s="30">
        <f t="shared" si="27"/>
        <v>0</v>
      </c>
      <c r="I92" s="30">
        <f t="shared" si="27"/>
        <v>0</v>
      </c>
      <c r="J92" s="30">
        <f t="shared" si="27"/>
        <v>0</v>
      </c>
      <c r="K92" s="30">
        <f t="shared" si="27"/>
        <v>0</v>
      </c>
      <c r="L92" s="30">
        <f t="shared" si="27"/>
        <v>0.3371857142857143</v>
      </c>
    </row>
    <row r="93" spans="1:12" ht="12.75">
      <c r="A93" t="s">
        <v>110</v>
      </c>
      <c r="B93" s="10">
        <f>IF(B45=0,0,B44/B45)</f>
        <v>0.01411764705882353</v>
      </c>
      <c r="C93" s="10">
        <f aca="true" t="shared" si="28" ref="C93:L93">IF(C45=0,0,C44/C45)</f>
        <v>0.01752577319587629</v>
      </c>
      <c r="D93" s="10">
        <f t="shared" si="28"/>
        <v>0.007832898172323759</v>
      </c>
      <c r="E93" s="10">
        <f t="shared" si="28"/>
        <v>0.005333333333333333</v>
      </c>
      <c r="F93" s="10">
        <f t="shared" si="28"/>
        <v>0</v>
      </c>
      <c r="G93" s="10">
        <f t="shared" si="28"/>
        <v>0</v>
      </c>
      <c r="H93" s="10">
        <f t="shared" si="28"/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</row>
    <row r="94" spans="1:12" ht="12.75">
      <c r="A94" t="s">
        <v>23</v>
      </c>
      <c r="B94" s="10">
        <f>IF(B30=0,0,(B28)/B30)</f>
        <v>0.6129032258064516</v>
      </c>
      <c r="C94" s="10">
        <f aca="true" t="shared" si="29" ref="C94:L94">IF(C30=0,0,(C28)/C30)</f>
        <v>0.7142857142857143</v>
      </c>
      <c r="D94" s="10">
        <f t="shared" si="29"/>
        <v>0.7857142857142857</v>
      </c>
      <c r="E94" s="10">
        <f t="shared" si="29"/>
        <v>0.8285714285714286</v>
      </c>
      <c r="F94" s="10">
        <f t="shared" si="29"/>
        <v>0</v>
      </c>
      <c r="G94" s="10">
        <f t="shared" si="29"/>
        <v>0</v>
      </c>
      <c r="H94" s="10">
        <f t="shared" si="29"/>
        <v>0</v>
      </c>
      <c r="I94" s="10">
        <f t="shared" si="29"/>
        <v>0</v>
      </c>
      <c r="J94" s="10">
        <f t="shared" si="29"/>
        <v>0</v>
      </c>
      <c r="K94" s="10">
        <f t="shared" si="29"/>
        <v>0</v>
      </c>
      <c r="L94" s="10">
        <f t="shared" si="29"/>
        <v>0.8285714285714286</v>
      </c>
    </row>
    <row r="95" spans="1:11" s="29" customFormat="1" ht="12.75">
      <c r="A95" s="58"/>
      <c r="B95" s="54"/>
      <c r="C95" s="63"/>
      <c r="D95" s="53"/>
      <c r="E95" s="64"/>
      <c r="F95" s="64"/>
      <c r="G95" s="64"/>
      <c r="H95" s="64"/>
      <c r="I95" s="64"/>
      <c r="J95" s="64"/>
      <c r="K95" s="64"/>
    </row>
    <row r="96" s="12" customFormat="1" ht="12.75">
      <c r="A96" s="23" t="s">
        <v>75</v>
      </c>
    </row>
    <row r="97" spans="1:12" ht="12.75">
      <c r="A97" t="s">
        <v>25</v>
      </c>
      <c r="B97">
        <f aca="true" t="shared" si="30" ref="B97:L97">B22-B45</f>
        <v>-920</v>
      </c>
      <c r="C97">
        <f t="shared" si="30"/>
        <v>-1240</v>
      </c>
      <c r="D97">
        <f t="shared" si="30"/>
        <v>-13780</v>
      </c>
      <c r="E97">
        <f t="shared" si="30"/>
        <v>-13000</v>
      </c>
      <c r="F97">
        <f t="shared" si="30"/>
        <v>0</v>
      </c>
      <c r="G97">
        <f t="shared" si="30"/>
        <v>0</v>
      </c>
      <c r="H97">
        <f t="shared" si="30"/>
        <v>0</v>
      </c>
      <c r="I97">
        <f t="shared" si="30"/>
        <v>0</v>
      </c>
      <c r="J97">
        <f t="shared" si="30"/>
        <v>0</v>
      </c>
      <c r="K97">
        <f t="shared" si="30"/>
        <v>0</v>
      </c>
      <c r="L97">
        <f t="shared" si="30"/>
        <v>-320.5999999999999</v>
      </c>
    </row>
    <row r="98" spans="1:12" ht="12.75">
      <c r="A98" t="s">
        <v>77</v>
      </c>
      <c r="B98" s="30">
        <f aca="true" t="shared" si="31" ref="B98:L98">IF(B45=0,0,B22/B45)</f>
        <v>0.4588235294117647</v>
      </c>
      <c r="C98" s="30">
        <f t="shared" si="31"/>
        <v>0.36082474226804123</v>
      </c>
      <c r="D98" s="30">
        <f t="shared" si="31"/>
        <v>0.10052219321148825</v>
      </c>
      <c r="E98" s="30">
        <f t="shared" si="31"/>
        <v>0.13333333333333333</v>
      </c>
      <c r="F98" s="30">
        <f t="shared" si="31"/>
        <v>0</v>
      </c>
      <c r="G98" s="30">
        <f t="shared" si="31"/>
        <v>0</v>
      </c>
      <c r="H98" s="30">
        <f t="shared" si="31"/>
        <v>0</v>
      </c>
      <c r="I98" s="30">
        <f t="shared" si="31"/>
        <v>0</v>
      </c>
      <c r="J98" s="30">
        <f t="shared" si="31"/>
        <v>0</v>
      </c>
      <c r="K98" s="30">
        <f t="shared" si="31"/>
        <v>0</v>
      </c>
      <c r="L98" s="30">
        <f t="shared" si="31"/>
        <v>0.8821583474233625</v>
      </c>
    </row>
    <row r="99" spans="1:12" ht="12.75">
      <c r="A99" t="s">
        <v>78</v>
      </c>
      <c r="B99" s="30">
        <f aca="true" t="shared" si="32" ref="B99:L99">IF((B45-B42)=0,0,(B22-B15-B20)/(B45-B42))</f>
        <v>0.3411764705882353</v>
      </c>
      <c r="C99" s="30">
        <f t="shared" si="32"/>
        <v>0.20618556701030927</v>
      </c>
      <c r="D99" s="30">
        <f t="shared" si="32"/>
        <v>0.0639686684073107</v>
      </c>
      <c r="E99" s="30">
        <f t="shared" si="32"/>
        <v>0.09333333333333334</v>
      </c>
      <c r="F99" s="30">
        <f t="shared" si="32"/>
        <v>0</v>
      </c>
      <c r="G99" s="30">
        <f t="shared" si="32"/>
        <v>0</v>
      </c>
      <c r="H99" s="30">
        <f t="shared" si="32"/>
        <v>0</v>
      </c>
      <c r="I99" s="30">
        <f t="shared" si="32"/>
        <v>0</v>
      </c>
      <c r="J99" s="30">
        <f t="shared" si="32"/>
        <v>0</v>
      </c>
      <c r="K99" s="30">
        <f t="shared" si="32"/>
        <v>0</v>
      </c>
      <c r="L99" s="30">
        <f t="shared" si="32"/>
        <v>0.6616187605675219</v>
      </c>
    </row>
    <row r="103" s="12" customFormat="1" ht="12.75">
      <c r="A103" s="23" t="s">
        <v>76</v>
      </c>
    </row>
    <row r="104" spans="1:12" ht="12.75">
      <c r="A104" t="s">
        <v>81</v>
      </c>
      <c r="B104" s="30">
        <f aca="true" t="shared" si="33" ref="B104:L104">IF(B22=0,0,(B53/B22))</f>
        <v>15.384615384615385</v>
      </c>
      <c r="C104" s="30">
        <f t="shared" si="33"/>
        <v>22.857142857142858</v>
      </c>
      <c r="D104" s="30">
        <f t="shared" si="33"/>
        <v>13.246753246753247</v>
      </c>
      <c r="E104" s="30">
        <f t="shared" si="33"/>
        <v>12</v>
      </c>
      <c r="F104" s="30">
        <f t="shared" si="33"/>
        <v>0</v>
      </c>
      <c r="G104" s="30">
        <f t="shared" si="33"/>
        <v>0</v>
      </c>
      <c r="H104" s="30">
        <f t="shared" si="33"/>
        <v>0</v>
      </c>
      <c r="I104" s="30">
        <f t="shared" si="33"/>
        <v>0</v>
      </c>
      <c r="J104" s="30">
        <f t="shared" si="33"/>
        <v>0</v>
      </c>
      <c r="K104" s="30">
        <f t="shared" si="33"/>
        <v>0</v>
      </c>
      <c r="L104" s="30">
        <f t="shared" si="33"/>
        <v>0</v>
      </c>
    </row>
    <row r="105" spans="1:12" ht="12.75">
      <c r="A105" t="s">
        <v>80</v>
      </c>
      <c r="B105" s="30">
        <f>IF(B104=0,0,(1/B104)*365)</f>
        <v>23.725</v>
      </c>
      <c r="C105" s="30">
        <f aca="true" t="shared" si="34" ref="C105:L105">IF(C104=0,0,(1/C104)*365)</f>
        <v>15.968749999999998</v>
      </c>
      <c r="D105" s="30">
        <f t="shared" si="34"/>
        <v>27.553921568627448</v>
      </c>
      <c r="E105" s="30">
        <f t="shared" si="34"/>
        <v>30.416666666666664</v>
      </c>
      <c r="F105" s="30">
        <f t="shared" si="34"/>
        <v>0</v>
      </c>
      <c r="G105" s="30">
        <f t="shared" si="34"/>
        <v>0</v>
      </c>
      <c r="H105" s="30">
        <f t="shared" si="34"/>
        <v>0</v>
      </c>
      <c r="I105" s="30">
        <f t="shared" si="34"/>
        <v>0</v>
      </c>
      <c r="J105" s="30">
        <f t="shared" si="34"/>
        <v>0</v>
      </c>
      <c r="K105" s="30">
        <f t="shared" si="34"/>
        <v>0</v>
      </c>
      <c r="L105" s="30">
        <f t="shared" si="34"/>
        <v>0</v>
      </c>
    </row>
    <row r="106" spans="1:13" ht="12.75">
      <c r="A106" t="s">
        <v>79</v>
      </c>
      <c r="B106" s="30">
        <f aca="true" t="shared" si="35" ref="B106:L106">IF(B15=0,0,1/(B53/B15)*365)</f>
        <v>6.083333333333333</v>
      </c>
      <c r="C106" s="30">
        <f t="shared" si="35"/>
        <v>6.84375</v>
      </c>
      <c r="D106" s="30">
        <f t="shared" si="35"/>
        <v>10.019607843137255</v>
      </c>
      <c r="E106" s="30">
        <f t="shared" si="35"/>
        <v>9.125</v>
      </c>
      <c r="F106" s="30">
        <f t="shared" si="35"/>
        <v>0</v>
      </c>
      <c r="G106" s="30">
        <f t="shared" si="35"/>
        <v>0</v>
      </c>
      <c r="H106" s="30">
        <f t="shared" si="35"/>
        <v>0</v>
      </c>
      <c r="I106" s="30">
        <f t="shared" si="35"/>
        <v>0</v>
      </c>
      <c r="J106" s="30">
        <f t="shared" si="35"/>
        <v>0</v>
      </c>
      <c r="K106" s="30">
        <f t="shared" si="35"/>
        <v>0</v>
      </c>
      <c r="L106" s="30" t="e">
        <f t="shared" si="35"/>
        <v>#DIV/0!</v>
      </c>
      <c r="M106" s="31"/>
    </row>
    <row r="107" spans="1:13" ht="12.75">
      <c r="A107" t="s">
        <v>88</v>
      </c>
      <c r="B107" s="30">
        <f aca="true" t="shared" si="36" ref="B107:K107">IF((B16-B19)=0,0,1/(B80/(B16-B19))*365)</f>
        <v>5.475</v>
      </c>
      <c r="C107" s="30">
        <f t="shared" si="36"/>
        <v>4.5625</v>
      </c>
      <c r="D107" s="30">
        <f t="shared" si="36"/>
        <v>14.313725490196079</v>
      </c>
      <c r="E107" s="30">
        <f t="shared" si="36"/>
        <v>18.25</v>
      </c>
      <c r="F107" s="30">
        <f t="shared" si="36"/>
        <v>0</v>
      </c>
      <c r="G107" s="30">
        <f t="shared" si="36"/>
        <v>0</v>
      </c>
      <c r="H107" s="30">
        <f t="shared" si="36"/>
        <v>0</v>
      </c>
      <c r="I107" s="30">
        <f t="shared" si="36"/>
        <v>0</v>
      </c>
      <c r="J107" s="30">
        <f t="shared" si="36"/>
        <v>0</v>
      </c>
      <c r="K107" s="30">
        <f t="shared" si="36"/>
        <v>0</v>
      </c>
      <c r="L107" s="30" t="e">
        <f>IF((L16-L19)=0,0,1/(L80/(L16-L19))*365)</f>
        <v>#DIV/0!</v>
      </c>
      <c r="M107" s="31"/>
    </row>
    <row r="108" spans="1:13" ht="12.75">
      <c r="A108" t="s">
        <v>89</v>
      </c>
      <c r="B108" s="30" t="e">
        <f aca="true" t="shared" si="37" ref="B108:K108">IF(B38=0,0,1/(B81/B38)*365)</f>
        <v>#DIV/0!</v>
      </c>
      <c r="C108" s="30" t="e">
        <f t="shared" si="37"/>
        <v>#DIV/0!</v>
      </c>
      <c r="D108" s="30" t="e">
        <f t="shared" si="37"/>
        <v>#DIV/0!</v>
      </c>
      <c r="E108" s="30" t="e">
        <f t="shared" si="37"/>
        <v>#DIV/0!</v>
      </c>
      <c r="F108" s="30">
        <f t="shared" si="37"/>
        <v>0</v>
      </c>
      <c r="G108" s="30">
        <f t="shared" si="37"/>
        <v>0</v>
      </c>
      <c r="H108" s="30">
        <f t="shared" si="37"/>
        <v>0</v>
      </c>
      <c r="I108" s="30">
        <f t="shared" si="37"/>
        <v>0</v>
      </c>
      <c r="J108" s="30">
        <f t="shared" si="37"/>
        <v>0</v>
      </c>
      <c r="K108" s="30">
        <f t="shared" si="37"/>
        <v>0</v>
      </c>
      <c r="L108" s="30" t="e">
        <f>IF(L38=0,0,1/(L81/L38)*365)</f>
        <v>#DIV/0!</v>
      </c>
      <c r="M108" s="31"/>
    </row>
    <row r="110" spans="1:12" s="12" customFormat="1" ht="12.75">
      <c r="A110" s="1" t="s">
        <v>67</v>
      </c>
      <c r="B110" s="1">
        <f>B50</f>
        <v>1992</v>
      </c>
      <c r="C110" s="1">
        <f aca="true" t="shared" si="38" ref="C110:L110">C50</f>
        <v>1993</v>
      </c>
      <c r="D110" s="1">
        <f t="shared" si="38"/>
        <v>1994</v>
      </c>
      <c r="E110" s="1">
        <f t="shared" si="38"/>
        <v>1995</v>
      </c>
      <c r="F110" s="1">
        <f t="shared" si="38"/>
        <v>1996</v>
      </c>
      <c r="G110" s="1">
        <f t="shared" si="38"/>
        <v>1997</v>
      </c>
      <c r="H110" s="1">
        <f t="shared" si="38"/>
        <v>1998</v>
      </c>
      <c r="I110" s="1">
        <f t="shared" si="38"/>
        <v>1999</v>
      </c>
      <c r="J110" s="1">
        <f t="shared" si="38"/>
        <v>2000</v>
      </c>
      <c r="K110" s="1">
        <f t="shared" si="38"/>
        <v>2001</v>
      </c>
      <c r="L110" s="1" t="str">
        <f t="shared" si="38"/>
        <v>PREV</v>
      </c>
    </row>
    <row r="111" spans="1:12" ht="12.75">
      <c r="A111" t="s">
        <v>35</v>
      </c>
      <c r="B111" s="10">
        <f>IF(B24=0,0,(B63+B68-B69)/B23)</f>
        <v>0.2302158273381295</v>
      </c>
      <c r="C111" s="10">
        <f aca="true" t="shared" si="39" ref="C111:L111">IF(C24=0,0,(C63+C68-C69)/C23)</f>
        <v>0.2607561929595828</v>
      </c>
      <c r="D111" s="10">
        <f t="shared" si="39"/>
        <v>0.2162516382699869</v>
      </c>
      <c r="E111" s="10">
        <f t="shared" si="39"/>
        <v>0.209375</v>
      </c>
      <c r="F111" s="10">
        <f t="shared" si="39"/>
        <v>0</v>
      </c>
      <c r="G111" s="10">
        <f t="shared" si="39"/>
        <v>0</v>
      </c>
      <c r="H111" s="10">
        <f t="shared" si="39"/>
        <v>0</v>
      </c>
      <c r="I111" s="10">
        <f t="shared" si="39"/>
        <v>0</v>
      </c>
      <c r="J111" s="10">
        <f t="shared" si="39"/>
        <v>0</v>
      </c>
      <c r="K111" s="10">
        <f t="shared" si="39"/>
        <v>0</v>
      </c>
      <c r="L111" s="10">
        <f t="shared" si="39"/>
        <v>0</v>
      </c>
    </row>
    <row r="112" spans="1:12" ht="12.75">
      <c r="A112" t="s">
        <v>68</v>
      </c>
      <c r="B112" s="10">
        <f>IF(B53=0,0,B63/B53)</f>
        <v>0.26666666666666666</v>
      </c>
      <c r="C112" s="10">
        <f aca="true" t="shared" si="40" ref="C112:L112">IF(C53=0,0,C63/C53)</f>
        <v>0.25</v>
      </c>
      <c r="D112" s="10">
        <f t="shared" si="40"/>
        <v>0.3235294117647059</v>
      </c>
      <c r="E112" s="10">
        <f t="shared" si="40"/>
        <v>0.2791666666666667</v>
      </c>
      <c r="F112" s="10">
        <f t="shared" si="40"/>
        <v>0</v>
      </c>
      <c r="G112" s="10">
        <f t="shared" si="40"/>
        <v>0</v>
      </c>
      <c r="H112" s="10">
        <f t="shared" si="40"/>
        <v>0</v>
      </c>
      <c r="I112" s="10">
        <f t="shared" si="40"/>
        <v>0</v>
      </c>
      <c r="J112" s="10">
        <f t="shared" si="40"/>
        <v>0</v>
      </c>
      <c r="K112" s="10">
        <f t="shared" si="40"/>
        <v>0</v>
      </c>
      <c r="L112" s="10">
        <f t="shared" si="40"/>
        <v>0</v>
      </c>
    </row>
    <row r="113" spans="1:12" ht="12.75">
      <c r="A113" t="s">
        <v>69</v>
      </c>
      <c r="B113" s="30">
        <f>IF((B24-B17)=0,0,B53/(B23-B17))</f>
        <v>0.8633093525179856</v>
      </c>
      <c r="C113" s="30">
        <f aca="true" t="shared" si="41" ref="C113:L113">IF((C24-C17)=0,0,C53/(C23-C17))</f>
        <v>1.0430247718383312</v>
      </c>
      <c r="D113" s="30">
        <f t="shared" si="41"/>
        <v>0.6684141546526867</v>
      </c>
      <c r="E113" s="30">
        <f t="shared" si="41"/>
        <v>0.75</v>
      </c>
      <c r="F113" s="30">
        <f t="shared" si="41"/>
        <v>0</v>
      </c>
      <c r="G113" s="30">
        <f t="shared" si="41"/>
        <v>0</v>
      </c>
      <c r="H113" s="30">
        <f t="shared" si="41"/>
        <v>0</v>
      </c>
      <c r="I113" s="30">
        <f t="shared" si="41"/>
        <v>0</v>
      </c>
      <c r="J113" s="30">
        <f t="shared" si="41"/>
        <v>0</v>
      </c>
      <c r="K113" s="30">
        <f t="shared" si="41"/>
        <v>0</v>
      </c>
      <c r="L113" s="30">
        <f t="shared" si="41"/>
        <v>0</v>
      </c>
    </row>
    <row r="115" spans="1:12" ht="12.75">
      <c r="A115" t="s">
        <v>74</v>
      </c>
      <c r="B115" s="10">
        <f aca="true" t="shared" si="42" ref="B115:L115">IF(B30=0,0,B70/B30)</f>
        <v>0.3225806451612903</v>
      </c>
      <c r="C115" s="10">
        <f t="shared" si="42"/>
        <v>0.35714285714285715</v>
      </c>
      <c r="D115" s="10">
        <f t="shared" si="42"/>
        <v>0.35714285714285715</v>
      </c>
      <c r="E115" s="10">
        <f t="shared" si="42"/>
        <v>0.2857142857142857</v>
      </c>
      <c r="F115" s="10">
        <f t="shared" si="42"/>
        <v>0</v>
      </c>
      <c r="G115" s="10">
        <f t="shared" si="42"/>
        <v>0</v>
      </c>
      <c r="H115" s="10">
        <f t="shared" si="42"/>
        <v>0</v>
      </c>
      <c r="I115" s="10">
        <f t="shared" si="42"/>
        <v>0</v>
      </c>
      <c r="J115" s="10">
        <f t="shared" si="42"/>
        <v>0</v>
      </c>
      <c r="K115" s="10">
        <f t="shared" si="42"/>
        <v>0</v>
      </c>
      <c r="L115" s="10">
        <f t="shared" si="42"/>
        <v>0</v>
      </c>
    </row>
    <row r="116" spans="1:12" ht="12.75">
      <c r="A116" s="53" t="s">
        <v>73</v>
      </c>
      <c r="B116" s="54">
        <f aca="true" t="shared" si="43" ref="B116:L116">IF(B30=0,0,B75/B30)</f>
        <v>0</v>
      </c>
      <c r="C116" s="54">
        <f t="shared" si="43"/>
        <v>0</v>
      </c>
      <c r="D116" s="54">
        <f t="shared" si="43"/>
        <v>0</v>
      </c>
      <c r="E116" s="54">
        <f t="shared" si="43"/>
        <v>0</v>
      </c>
      <c r="F116" s="54">
        <f t="shared" si="43"/>
        <v>0</v>
      </c>
      <c r="G116" s="54">
        <f t="shared" si="43"/>
        <v>0</v>
      </c>
      <c r="H116" s="54">
        <f t="shared" si="43"/>
        <v>0</v>
      </c>
      <c r="I116" s="54">
        <f t="shared" si="43"/>
        <v>0</v>
      </c>
      <c r="J116" s="54">
        <f t="shared" si="43"/>
        <v>0</v>
      </c>
      <c r="K116" s="54">
        <f t="shared" si="43"/>
        <v>0</v>
      </c>
      <c r="L116" s="54">
        <f t="shared" si="43"/>
        <v>0</v>
      </c>
    </row>
    <row r="117" spans="1:12" ht="12.75">
      <c r="A117" s="53" t="s">
        <v>71</v>
      </c>
      <c r="B117" s="54">
        <f>IF(B53=0,0,B70/B53)</f>
        <v>0.16666666666666666</v>
      </c>
      <c r="C117" s="54">
        <f aca="true" t="shared" si="44" ref="C117:L117">IF(C53=0,0,C70/C53)</f>
        <v>0.1875</v>
      </c>
      <c r="D117" s="54">
        <f t="shared" si="44"/>
        <v>0.19607843137254902</v>
      </c>
      <c r="E117" s="54">
        <f t="shared" si="44"/>
        <v>0.16666666666666666</v>
      </c>
      <c r="F117" s="54">
        <f t="shared" si="44"/>
        <v>0</v>
      </c>
      <c r="G117" s="54">
        <f t="shared" si="44"/>
        <v>0</v>
      </c>
      <c r="H117" s="54">
        <f t="shared" si="44"/>
        <v>0</v>
      </c>
      <c r="I117" s="54">
        <f t="shared" si="44"/>
        <v>0</v>
      </c>
      <c r="J117" s="54">
        <f t="shared" si="44"/>
        <v>0</v>
      </c>
      <c r="K117" s="54">
        <f t="shared" si="44"/>
        <v>0</v>
      </c>
      <c r="L117" s="54">
        <f t="shared" si="44"/>
        <v>0</v>
      </c>
    </row>
    <row r="118" spans="1:12" ht="12.75">
      <c r="A118" s="53" t="s">
        <v>72</v>
      </c>
      <c r="B118" s="55">
        <f aca="true" t="shared" si="45" ref="B118:L118">IF(B30=0,0,B53/B30)</f>
        <v>1.935483870967742</v>
      </c>
      <c r="C118" s="55">
        <f t="shared" si="45"/>
        <v>1.9047619047619047</v>
      </c>
      <c r="D118" s="55">
        <f t="shared" si="45"/>
        <v>1.8214285714285714</v>
      </c>
      <c r="E118" s="55">
        <f t="shared" si="45"/>
        <v>1.7142857142857142</v>
      </c>
      <c r="F118" s="55">
        <f t="shared" si="45"/>
        <v>0</v>
      </c>
      <c r="G118" s="55">
        <f t="shared" si="45"/>
        <v>0</v>
      </c>
      <c r="H118" s="55">
        <f t="shared" si="45"/>
        <v>0</v>
      </c>
      <c r="I118" s="55">
        <f t="shared" si="45"/>
        <v>0</v>
      </c>
      <c r="J118" s="55">
        <f t="shared" si="45"/>
        <v>0</v>
      </c>
      <c r="K118" s="55">
        <f t="shared" si="45"/>
        <v>0</v>
      </c>
      <c r="L118" s="55">
        <f t="shared" si="45"/>
        <v>0</v>
      </c>
    </row>
    <row r="119" spans="1:12" ht="12.75">
      <c r="A119" s="53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>
      <c r="A120" s="53" t="s">
        <v>36</v>
      </c>
      <c r="B120" s="55">
        <f>IF(B30=0,0,(B23/B30)*(B70/(B63+B68-B69)))</f>
        <v>1.4012096774193548</v>
      </c>
      <c r="C120" s="55">
        <f aca="true" t="shared" si="46" ref="C120:L120">IF(C30=0,0,(C23/C30)*(C70/(C63+C68-C69)))</f>
        <v>1.3696428571428572</v>
      </c>
      <c r="D120" s="55">
        <f t="shared" si="46"/>
        <v>1.6515151515151516</v>
      </c>
      <c r="E120" s="55">
        <f t="shared" si="46"/>
        <v>1.364605543710021</v>
      </c>
      <c r="F120" s="55">
        <f t="shared" si="46"/>
        <v>0</v>
      </c>
      <c r="G120" s="55">
        <f t="shared" si="46"/>
        <v>0</v>
      </c>
      <c r="H120" s="55">
        <f t="shared" si="46"/>
        <v>0</v>
      </c>
      <c r="I120" s="55">
        <f t="shared" si="46"/>
        <v>0</v>
      </c>
      <c r="J120" s="55">
        <f t="shared" si="46"/>
        <v>0</v>
      </c>
      <c r="K120" s="55">
        <f t="shared" si="46"/>
        <v>0</v>
      </c>
      <c r="L120" s="55" t="e">
        <f t="shared" si="46"/>
        <v>#DIV/0!</v>
      </c>
    </row>
    <row r="121" spans="1:12" ht="12.75">
      <c r="A121" s="53" t="s">
        <v>37</v>
      </c>
      <c r="B121" s="55">
        <f aca="true" t="shared" si="47" ref="B121:K121">IF(B70=0,0,B120*(B75/B70))</f>
        <v>0</v>
      </c>
      <c r="C121" s="55">
        <f t="shared" si="47"/>
        <v>0</v>
      </c>
      <c r="D121" s="55">
        <f t="shared" si="47"/>
        <v>0</v>
      </c>
      <c r="E121" s="55">
        <f t="shared" si="47"/>
        <v>0</v>
      </c>
      <c r="F121" s="55">
        <f t="shared" si="47"/>
        <v>0</v>
      </c>
      <c r="G121" s="55">
        <f t="shared" si="47"/>
        <v>0</v>
      </c>
      <c r="H121" s="55">
        <f t="shared" si="47"/>
        <v>0</v>
      </c>
      <c r="I121" s="55">
        <f t="shared" si="47"/>
        <v>0</v>
      </c>
      <c r="J121" s="55">
        <f t="shared" si="47"/>
        <v>0</v>
      </c>
      <c r="K121" s="55">
        <f t="shared" si="47"/>
        <v>0</v>
      </c>
      <c r="L121" s="55">
        <f>IF(L70=0,0,L120*(L75/L70))</f>
        <v>0</v>
      </c>
    </row>
    <row r="122" spans="1:12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F15" sqref="F15"/>
    </sheetView>
  </sheetViews>
  <sheetFormatPr defaultColWidth="9.140625" defaultRowHeight="12.75" outlineLevelRow="2"/>
  <cols>
    <col min="1" max="1" width="21.7109375" style="0" customWidth="1"/>
    <col min="13" max="13" width="5.7109375" style="0" customWidth="1"/>
    <col min="14" max="14" width="22.421875" style="0" customWidth="1"/>
    <col min="15" max="15" width="9.28125" style="0" bestFit="1" customWidth="1"/>
  </cols>
  <sheetData>
    <row r="1" spans="1:15" s="32" customFormat="1" ht="12.75">
      <c r="A1" s="26" t="s">
        <v>233</v>
      </c>
      <c r="B1" s="27"/>
      <c r="C1" s="28"/>
      <c r="O1" s="26" t="s">
        <v>86</v>
      </c>
    </row>
    <row r="3" spans="1:25" s="12" customFormat="1" ht="12.75">
      <c r="A3" s="1" t="s">
        <v>0</v>
      </c>
      <c r="B3" s="1">
        <f>Valores!B3</f>
        <v>1992</v>
      </c>
      <c r="C3" s="1">
        <f>B3+1</f>
        <v>1993</v>
      </c>
      <c r="D3" s="1">
        <f aca="true" t="shared" si="0" ref="D3:K3">C3+1</f>
        <v>1994</v>
      </c>
      <c r="E3" s="1">
        <f t="shared" si="0"/>
        <v>1995</v>
      </c>
      <c r="F3" s="1">
        <f t="shared" si="0"/>
        <v>1996</v>
      </c>
      <c r="G3" s="1">
        <f t="shared" si="0"/>
        <v>1997</v>
      </c>
      <c r="H3" s="1">
        <f t="shared" si="0"/>
        <v>1998</v>
      </c>
      <c r="I3" s="1">
        <f t="shared" si="0"/>
        <v>1999</v>
      </c>
      <c r="J3" s="1">
        <f t="shared" si="0"/>
        <v>2000</v>
      </c>
      <c r="K3" s="1">
        <f t="shared" si="0"/>
        <v>2001</v>
      </c>
      <c r="L3" s="1" t="s">
        <v>234</v>
      </c>
      <c r="M3" s="36"/>
      <c r="O3" s="1">
        <f>B3</f>
        <v>1992</v>
      </c>
      <c r="P3" s="1">
        <f aca="true" t="shared" si="1" ref="P3:Y3">C3</f>
        <v>1993</v>
      </c>
      <c r="Q3" s="1">
        <f t="shared" si="1"/>
        <v>1994</v>
      </c>
      <c r="R3" s="1">
        <f t="shared" si="1"/>
        <v>1995</v>
      </c>
      <c r="S3" s="1">
        <f t="shared" si="1"/>
        <v>1996</v>
      </c>
      <c r="T3" s="1">
        <f t="shared" si="1"/>
        <v>1997</v>
      </c>
      <c r="U3" s="1">
        <f t="shared" si="1"/>
        <v>1998</v>
      </c>
      <c r="V3" s="1">
        <f t="shared" si="1"/>
        <v>1999</v>
      </c>
      <c r="W3" s="1">
        <f t="shared" si="1"/>
        <v>2000</v>
      </c>
      <c r="X3" s="1">
        <f t="shared" si="1"/>
        <v>2001</v>
      </c>
      <c r="Y3" s="1" t="str">
        <f t="shared" si="1"/>
        <v>PREV</v>
      </c>
    </row>
    <row r="4" spans="1:14" ht="12.75" outlineLevel="2">
      <c r="A4" s="4" t="s">
        <v>13</v>
      </c>
      <c r="B4" s="40">
        <f>IF(Valores!B24=0,0,Valores!B4/Valores!B24)</f>
        <v>0.9564245810055866</v>
      </c>
      <c r="C4" s="40">
        <f>IF(Valores!C24=0,0,Valores!C4/Valores!C24)</f>
        <v>0.9659201557935735</v>
      </c>
      <c r="D4" s="40">
        <f>IF(Valores!D24=0,0,Valores!D4/Valores!D24)</f>
        <v>0.9593881856540084</v>
      </c>
      <c r="E4" s="40">
        <f>IF(Valores!E24=0,0,Valores!E4/Valores!E24)</f>
        <v>0.9523809523809523</v>
      </c>
      <c r="F4" s="40">
        <f>IF(Valores!F24=0,0,Valores!F4/Valores!F24)</f>
        <v>0</v>
      </c>
      <c r="G4" s="40">
        <f>IF(Valores!G24=0,0,Valores!G4/Valores!G24)</f>
        <v>0</v>
      </c>
      <c r="H4" s="40">
        <f>IF(Valores!H24=0,0,Valores!H4/Valores!H24)</f>
        <v>0</v>
      </c>
      <c r="I4" s="40">
        <f>IF(Valores!I24=0,0,Valores!I4/Valores!I24)</f>
        <v>0</v>
      </c>
      <c r="J4" s="40">
        <f>IF(Valores!J24=0,0,Valores!J4/Valores!J24)</f>
        <v>0</v>
      </c>
      <c r="K4" s="40">
        <f>IF(Valores!K24=0,0,Valores!K4/Valores!K24)</f>
        <v>0</v>
      </c>
      <c r="L4" s="40">
        <f>IF(Valores!L24=0,0,Valores!L4/Valores!L24)</f>
        <v>0.9556541019955654</v>
      </c>
      <c r="M4" s="86"/>
      <c r="N4" s="62"/>
    </row>
    <row r="5" spans="1:14" ht="12.75" outlineLevel="2">
      <c r="A5" s="62" t="s">
        <v>106</v>
      </c>
      <c r="B5" s="40">
        <f>IF(Valores!B24=0,0,Valores!B5/Valores!B24)</f>
        <v>0.7094972067039106</v>
      </c>
      <c r="C5" s="40">
        <f>IF(Valores!C24=0,0,Valores!C5/Valores!C24)</f>
        <v>0.6738072054527751</v>
      </c>
      <c r="D5" s="40">
        <f>IF(Valores!D24=0,0,Valores!D5/Valores!D24)</f>
        <v>0.7484177215189873</v>
      </c>
      <c r="E5" s="40">
        <f>IF(Valores!E24=0,0,Valores!E5/Valores!E24)</f>
        <v>0.7619047619047619</v>
      </c>
      <c r="F5" s="40">
        <f>IF(Valores!F24=0,0,Valores!F5/Valores!F24)</f>
        <v>0</v>
      </c>
      <c r="G5" s="40">
        <f>IF(Valores!G24=0,0,Valores!G5/Valores!G24)</f>
        <v>0</v>
      </c>
      <c r="H5" s="40">
        <f>IF(Valores!H24=0,0,Valores!H5/Valores!H24)</f>
        <v>0</v>
      </c>
      <c r="I5" s="40">
        <f>IF(Valores!I24=0,0,Valores!I5/Valores!I24)</f>
        <v>0</v>
      </c>
      <c r="J5" s="40">
        <f>IF(Valores!J24=0,0,Valores!J5/Valores!J24)</f>
        <v>0</v>
      </c>
      <c r="K5" s="40">
        <f>IF(Valores!K24=0,0,Valores!K5/Valores!K24)</f>
        <v>0</v>
      </c>
      <c r="L5" s="40">
        <f>IF(Valores!L24=0,0,Valores!L5/Valores!L24)</f>
        <v>0</v>
      </c>
      <c r="M5" s="86"/>
      <c r="N5" s="62"/>
    </row>
    <row r="6" spans="1:14" ht="12.75" outlineLevel="2">
      <c r="A6" s="62" t="s">
        <v>21</v>
      </c>
      <c r="B6" s="40">
        <f>IF(Valores!B24=0,0,Valores!B6/Valores!B24)</f>
        <v>0.47039106145251397</v>
      </c>
      <c r="C6" s="40">
        <f>IF(Valores!C24=0,0,Valores!C6/Valores!C24)</f>
        <v>0.5034079844206426</v>
      </c>
      <c r="D6" s="40">
        <f>IF(Valores!D24=0,0,Valores!D6/Valores!D24)</f>
        <v>0.4741561181434599</v>
      </c>
      <c r="E6" s="40">
        <f>IF(Valores!E24=0,0,Valores!E6/Valores!E24)</f>
        <v>0.47619047619047616</v>
      </c>
      <c r="F6" s="40">
        <f>IF(Valores!F24=0,0,Valores!F6/Valores!F24)</f>
        <v>0</v>
      </c>
      <c r="G6" s="40">
        <f>IF(Valores!G24=0,0,Valores!G6/Valores!G24)</f>
        <v>0</v>
      </c>
      <c r="H6" s="40">
        <f>IF(Valores!H24=0,0,Valores!H6/Valores!H24)</f>
        <v>0</v>
      </c>
      <c r="I6" s="40">
        <f>IF(Valores!I24=0,0,Valores!I6/Valores!I24)</f>
        <v>0</v>
      </c>
      <c r="J6" s="40">
        <f>IF(Valores!J24=0,0,Valores!J6/Valores!J24)</f>
        <v>0</v>
      </c>
      <c r="K6" s="40">
        <f>IF(Valores!K24=0,0,Valores!K6/Valores!K24)</f>
        <v>0</v>
      </c>
      <c r="L6" s="40">
        <f>IF(Valores!L24=0,0,Valores!L6/Valores!L24)</f>
        <v>0</v>
      </c>
      <c r="M6" s="86"/>
      <c r="N6" s="62"/>
    </row>
    <row r="7" spans="1:14" ht="12.75" outlineLevel="2">
      <c r="A7" s="4" t="s">
        <v>14</v>
      </c>
      <c r="B7" s="40">
        <f>IF(Valores!B24=0,0,Valores!B7/Valores!B24)</f>
        <v>0</v>
      </c>
      <c r="C7" s="40">
        <f>IF(Valores!C24=0,0,Valores!C7/Valores!C24)</f>
        <v>0</v>
      </c>
      <c r="D7" s="40">
        <f>IF(Valores!D24=0,0,Valores!D7/Valores!D24)</f>
        <v>0</v>
      </c>
      <c r="E7" s="40">
        <f>IF(Valores!E24=0,0,Valores!E7/Valores!E24)</f>
        <v>0</v>
      </c>
      <c r="F7" s="40">
        <f>IF(Valores!F24=0,0,Valores!F7/Valores!F24)</f>
        <v>0</v>
      </c>
      <c r="G7" s="40">
        <f>IF(Valores!G24=0,0,Valores!G7/Valores!G24)</f>
        <v>0</v>
      </c>
      <c r="H7" s="40">
        <f>IF(Valores!H24=0,0,Valores!H7/Valores!H24)</f>
        <v>0</v>
      </c>
      <c r="I7" s="40">
        <f>IF(Valores!I24=0,0,Valores!I7/Valores!I24)</f>
        <v>0</v>
      </c>
      <c r="J7" s="40">
        <f>IF(Valores!J24=0,0,Valores!J7/Valores!J24)</f>
        <v>0</v>
      </c>
      <c r="K7" s="40">
        <f>IF(Valores!K24=0,0,Valores!K7/Valores!K24)</f>
        <v>0</v>
      </c>
      <c r="L7" s="40">
        <f>IF(Valores!L24=0,0,Valores!L7/Valores!L24)</f>
        <v>0</v>
      </c>
      <c r="M7" s="86"/>
      <c r="N7" s="62"/>
    </row>
    <row r="8" spans="1:14" ht="12.75" outlineLevel="2">
      <c r="A8" s="4" t="s">
        <v>15</v>
      </c>
      <c r="B8" s="40">
        <f>IF(Valores!B24=0,0,Valores!B8/Valores!B24)</f>
        <v>0</v>
      </c>
      <c r="C8" s="40">
        <f>IF(Valores!C24=0,0,Valores!C8/Valores!C24)</f>
        <v>0</v>
      </c>
      <c r="D8" s="40">
        <f>IF(Valores!D24=0,0,Valores!D8/Valores!D24)</f>
        <v>0</v>
      </c>
      <c r="E8" s="40">
        <f>IF(Valores!E24=0,0,Valores!E8/Valores!E24)</f>
        <v>0</v>
      </c>
      <c r="F8" s="40">
        <f>IF(Valores!F24=0,0,Valores!F8/Valores!F24)</f>
        <v>0</v>
      </c>
      <c r="G8" s="40">
        <f>IF(Valores!G24=0,0,Valores!G8/Valores!G24)</f>
        <v>0</v>
      </c>
      <c r="H8" s="40">
        <f>IF(Valores!H24=0,0,Valores!H8/Valores!H24)</f>
        <v>0</v>
      </c>
      <c r="I8" s="40">
        <f>IF(Valores!I24=0,0,Valores!I8/Valores!I24)</f>
        <v>0</v>
      </c>
      <c r="J8" s="40">
        <f>IF(Valores!J24=0,0,Valores!J8/Valores!J24)</f>
        <v>0</v>
      </c>
      <c r="K8" s="40">
        <f>IF(Valores!K24=0,0,Valores!K8/Valores!K24)</f>
        <v>0</v>
      </c>
      <c r="L8" s="40">
        <f>IF(Valores!L24=0,0,Valores!L8/Valores!L24)</f>
        <v>0</v>
      </c>
      <c r="M8" s="86"/>
      <c r="N8" s="62"/>
    </row>
    <row r="9" spans="1:14" ht="12.75" outlineLevel="2">
      <c r="A9" s="4" t="s">
        <v>43</v>
      </c>
      <c r="B9" s="40">
        <f>IF(Valores!B24=0,0,Valores!B9/Valores!B24)</f>
        <v>0</v>
      </c>
      <c r="C9" s="40">
        <f>IF(Valores!C24=0,0,Valores!C9/Valores!C24)</f>
        <v>0</v>
      </c>
      <c r="D9" s="40">
        <f>IF(Valores!D24=0,0,Valores!D9/Valores!D24)</f>
        <v>0</v>
      </c>
      <c r="E9" s="40">
        <f>IF(Valores!E24=0,0,Valores!E9/Valores!E24)</f>
        <v>0</v>
      </c>
      <c r="F9" s="40">
        <f>IF(Valores!F24=0,0,Valores!F9/Valores!F24)</f>
        <v>0</v>
      </c>
      <c r="G9" s="40">
        <f>IF(Valores!G24=0,0,Valores!G9/Valores!G24)</f>
        <v>0</v>
      </c>
      <c r="H9" s="40">
        <f>IF(Valores!H24=0,0,Valores!H9/Valores!H24)</f>
        <v>0</v>
      </c>
      <c r="I9" s="40">
        <f>IF(Valores!I24=0,0,Valores!I9/Valores!I24)</f>
        <v>0</v>
      </c>
      <c r="J9" s="40">
        <f>IF(Valores!J24=0,0,Valores!J9/Valores!J24)</f>
        <v>0</v>
      </c>
      <c r="K9" s="40">
        <f>IF(Valores!K24=0,0,Valores!K9/Valores!K24)</f>
        <v>0</v>
      </c>
      <c r="L9" s="40">
        <f>IF(Valores!L24=0,0,Valores!L9/Valores!L24)</f>
        <v>0</v>
      </c>
      <c r="M9" s="86"/>
      <c r="N9" s="62"/>
    </row>
    <row r="10" spans="1:25" ht="12.75" outlineLevel="2">
      <c r="A10" s="3" t="s">
        <v>2</v>
      </c>
      <c r="B10" s="43">
        <f>IF(Valores!B24=0,0,Valores!B10/Valores!B24)</f>
        <v>0.9564245810055866</v>
      </c>
      <c r="C10" s="43">
        <f>IF(Valores!C24=0,0,Valores!C10/Valores!C24)</f>
        <v>0.9659201557935735</v>
      </c>
      <c r="D10" s="43">
        <f>IF(Valores!D24=0,0,Valores!D10/Valores!D24)</f>
        <v>0.9593881856540084</v>
      </c>
      <c r="E10" s="43">
        <f>IF(Valores!E24=0,0,Valores!E10/Valores!E24)</f>
        <v>0.9523809523809523</v>
      </c>
      <c r="F10" s="43">
        <f>IF(Valores!F24=0,0,Valores!F10/Valores!F24)</f>
        <v>0</v>
      </c>
      <c r="G10" s="43">
        <f>IF(Valores!G24=0,0,Valores!G10/Valores!G24)</f>
        <v>0</v>
      </c>
      <c r="H10" s="43">
        <f>IF(Valores!H24=0,0,Valores!H10/Valores!H24)</f>
        <v>0</v>
      </c>
      <c r="I10" s="43">
        <f>IF(Valores!I24=0,0,Valores!I10/Valores!I24)</f>
        <v>0</v>
      </c>
      <c r="J10" s="43">
        <f>IF(Valores!J24=0,0,Valores!J10/Valores!J24)</f>
        <v>0</v>
      </c>
      <c r="K10" s="43">
        <f>IF(Valores!K24=0,0,Valores!K10/Valores!K24)</f>
        <v>0</v>
      </c>
      <c r="L10" s="43">
        <f>IF(Valores!L24=0,0,Valores!L10/Valores!L24)</f>
        <v>0.9556541019955654</v>
      </c>
      <c r="M10" s="86"/>
      <c r="N10" s="3" t="s">
        <v>235</v>
      </c>
      <c r="O10" s="43">
        <f>IF(O23=0,0,(Valores!B10-Valores!B32)/O23)</f>
        <v>0.943884892086331</v>
      </c>
      <c r="P10" s="43">
        <f>IF(P23=0,0,(Valores!C10-Valores!C32)/P23)</f>
        <v>0.954367666232073</v>
      </c>
      <c r="Q10" s="43">
        <f>IF(Q23=0,0,(Valores!D10-Valores!D32)/Q23)</f>
        <v>0.9495412844036697</v>
      </c>
      <c r="R10" s="43">
        <f>IF(R23=0,0,(Valores!E10-Valores!E32)/R23)</f>
        <v>0.9375</v>
      </c>
      <c r="S10" s="43">
        <f>IF(S23=0,0,(Valores!F10-Valores!F32)/S23)</f>
        <v>0</v>
      </c>
      <c r="T10" s="43">
        <f>IF(T23=0,0,(Valores!G10-Valores!G32)/T23)</f>
        <v>0</v>
      </c>
      <c r="U10" s="43">
        <f>IF(U23=0,0,(Valores!H10-Valores!H32)/U23)</f>
        <v>0</v>
      </c>
      <c r="V10" s="43">
        <f>IF(V23=0,0,(Valores!I10-Valores!I32)/V23)</f>
        <v>0</v>
      </c>
      <c r="W10" s="43">
        <f>IF(W23=0,0,(Valores!J10-Valores!J32)/W23)</f>
        <v>0</v>
      </c>
      <c r="X10" s="43">
        <f>IF(X23=0,0,(Valores!K10-Valores!K32)/X23)</f>
        <v>0</v>
      </c>
      <c r="Y10" s="43">
        <f>IF(Y23=0,0,(Valores!L10-Valores!L32)/Y23)</f>
        <v>0.9402910809802214</v>
      </c>
    </row>
    <row r="11" spans="1:14" ht="12.75" outlineLevel="1">
      <c r="A11" s="3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87"/>
      <c r="N11" s="29"/>
    </row>
    <row r="12" spans="1:14" ht="12.75" outlineLevel="2">
      <c r="A12" s="38" t="s">
        <v>29</v>
      </c>
      <c r="B12" s="40">
        <f>IF(Valores!B24=0,0,Valores!B12/Valores!B24)</f>
        <v>0</v>
      </c>
      <c r="C12" s="40">
        <f>IF(Valores!C24=0,0,Valores!C12/Valores!C24)</f>
        <v>0</v>
      </c>
      <c r="D12" s="40">
        <f>IF(Valores!D24=0,0,Valores!D12/Valores!D24)</f>
        <v>0</v>
      </c>
      <c r="E12" s="40">
        <f>IF(Valores!E24=0,0,Valores!E12/Valores!E24)</f>
        <v>0</v>
      </c>
      <c r="F12" s="40">
        <f>IF(Valores!F24=0,0,Valores!F12/Valores!F24)</f>
        <v>0</v>
      </c>
      <c r="G12" s="40">
        <f>IF(Valores!G24=0,0,Valores!G12/Valores!G24)</f>
        <v>0</v>
      </c>
      <c r="H12" s="40">
        <f>IF(Valores!H24=0,0,Valores!H12/Valores!H24)</f>
        <v>0</v>
      </c>
      <c r="I12" s="40">
        <f>IF(Valores!I24=0,0,Valores!I12/Valores!I24)</f>
        <v>0</v>
      </c>
      <c r="J12" s="40">
        <f>IF(Valores!J24=0,0,Valores!J12/Valores!J24)</f>
        <v>0</v>
      </c>
      <c r="K12" s="40">
        <f>IF(Valores!K24=0,0,Valores!K12/Valores!K24)</f>
        <v>0</v>
      </c>
      <c r="L12" s="40">
        <f>IF(Valores!L24=0,0,Valores!L12/Valores!L24)</f>
        <v>0</v>
      </c>
      <c r="M12" s="86"/>
      <c r="N12" s="4"/>
    </row>
    <row r="13" spans="1:14" ht="12.75" outlineLevel="2">
      <c r="A13" s="38" t="s">
        <v>30</v>
      </c>
      <c r="B13" s="40">
        <f>IF(Valores!B24=0,0,Valores!B13/Valores!B24)</f>
        <v>0</v>
      </c>
      <c r="C13" s="40">
        <f>IF(Valores!C24=0,0,Valores!C13/Valores!C24)</f>
        <v>0</v>
      </c>
      <c r="D13" s="40">
        <f>IF(Valores!D24=0,0,Valores!D13/Valores!D24)</f>
        <v>0</v>
      </c>
      <c r="E13" s="40">
        <f>IF(Valores!E24=0,0,Valores!E13/Valores!E24)</f>
        <v>0</v>
      </c>
      <c r="F13" s="40">
        <f>IF(Valores!F24=0,0,Valores!F13/Valores!F24)</f>
        <v>0</v>
      </c>
      <c r="G13" s="40">
        <f>IF(Valores!G24=0,0,Valores!G13/Valores!G24)</f>
        <v>0</v>
      </c>
      <c r="H13" s="40">
        <f>IF(Valores!H24=0,0,Valores!H13/Valores!H24)</f>
        <v>0</v>
      </c>
      <c r="I13" s="40">
        <f>IF(Valores!I24=0,0,Valores!I13/Valores!I24)</f>
        <v>0</v>
      </c>
      <c r="J13" s="40">
        <f>IF(Valores!J24=0,0,Valores!J13/Valores!J24)</f>
        <v>0</v>
      </c>
      <c r="K13" s="40">
        <f>IF(Valores!K24=0,0,Valores!K13/Valores!K24)</f>
        <v>0</v>
      </c>
      <c r="L13" s="40">
        <f>IF(Valores!L24=0,0,Valores!L13/Valores!L24)</f>
        <v>0</v>
      </c>
      <c r="M13" s="86"/>
      <c r="N13" s="4"/>
    </row>
    <row r="14" spans="1:14" ht="12.75" outlineLevel="2">
      <c r="A14" s="38" t="s">
        <v>31</v>
      </c>
      <c r="B14" s="40">
        <f>IF(Valores!B24=0,0,Valores!B14/Valores!B24)</f>
        <v>0.0111731843575419</v>
      </c>
      <c r="C14" s="40">
        <f>IF(Valores!C24=0,0,Valores!C14/Valores!C24)</f>
        <v>0.014605647517039922</v>
      </c>
      <c r="D14" s="40">
        <f>IF(Valores!D24=0,0,Valores!D14/Valores!D24)</f>
        <v>0.014767932489451477</v>
      </c>
      <c r="E14" s="40">
        <f>IF(Valores!E24=0,0,Valores!E14/Valores!E24)</f>
        <v>0.014285714285714285</v>
      </c>
      <c r="F14" s="40">
        <f>IF(Valores!F24=0,0,Valores!F14/Valores!F24)</f>
        <v>0</v>
      </c>
      <c r="G14" s="40">
        <f>IF(Valores!G24=0,0,Valores!G14/Valores!G24)</f>
        <v>0</v>
      </c>
      <c r="H14" s="40">
        <f>IF(Valores!H24=0,0,Valores!H14/Valores!H24)</f>
        <v>0</v>
      </c>
      <c r="I14" s="40">
        <f>IF(Valores!I24=0,0,Valores!I14/Valores!I24)</f>
        <v>0</v>
      </c>
      <c r="J14" s="40">
        <f>IF(Valores!J24=0,0,Valores!J14/Valores!J24)</f>
        <v>0</v>
      </c>
      <c r="K14" s="40">
        <f>IF(Valores!K24=0,0,Valores!K14/Valores!K24)</f>
        <v>0</v>
      </c>
      <c r="L14" s="40">
        <f>IF(Valores!L24=0,0,Valores!L14/Valores!L24)</f>
        <v>0.011086474501108648</v>
      </c>
      <c r="M14" s="86"/>
      <c r="N14" s="4"/>
    </row>
    <row r="15" spans="1:25" ht="12.75" outlineLevel="2">
      <c r="A15" s="4" t="s">
        <v>42</v>
      </c>
      <c r="B15" s="42">
        <f>IF(Valores!B24=0,0,Valores!B15/Valores!B24)</f>
        <v>0.0111731843575419</v>
      </c>
      <c r="C15" s="42">
        <f>IF(Valores!C24=0,0,Valores!C15/Valores!C24)</f>
        <v>0.014605647517039922</v>
      </c>
      <c r="D15" s="42">
        <f>IF(Valores!D24=0,0,Valores!D15/Valores!D24)</f>
        <v>0.014767932489451477</v>
      </c>
      <c r="E15" s="42">
        <f>IF(Valores!E24=0,0,Valores!E15/Valores!E24)</f>
        <v>0.014285714285714285</v>
      </c>
      <c r="F15" s="42">
        <f>IF(Valores!F24=0,0,Valores!F15/Valores!F24)</f>
        <v>0</v>
      </c>
      <c r="G15" s="42">
        <f>IF(Valores!G24=0,0,Valores!G15/Valores!G24)</f>
        <v>0</v>
      </c>
      <c r="H15" s="42">
        <f>IF(Valores!H24=0,0,Valores!H15/Valores!H24)</f>
        <v>0</v>
      </c>
      <c r="I15" s="42">
        <f>IF(Valores!I24=0,0,Valores!I15/Valores!I24)</f>
        <v>0</v>
      </c>
      <c r="J15" s="42">
        <f>IF(Valores!J24=0,0,Valores!J15/Valores!J24)</f>
        <v>0</v>
      </c>
      <c r="K15" s="42">
        <f>IF(Valores!K24=0,0,Valores!K15/Valores!K24)</f>
        <v>0</v>
      </c>
      <c r="L15" s="42">
        <f>IF(Valores!L24=0,0,Valores!L15/Valores!L24)</f>
        <v>0.011086474501108648</v>
      </c>
      <c r="M15" s="88"/>
      <c r="N15" s="85" t="s">
        <v>237</v>
      </c>
      <c r="O15" s="10">
        <f>IF(O23=0,0,Valores!B15/O23)</f>
        <v>0.014388489208633094</v>
      </c>
      <c r="P15" s="10">
        <f>IF(P23=0,0,Valores!C15/P23)</f>
        <v>0.01955671447196871</v>
      </c>
      <c r="Q15" s="10">
        <f>IF(Q23=0,0,Valores!D15/Q23)</f>
        <v>0.01834862385321101</v>
      </c>
      <c r="R15" s="10">
        <f>IF(R23=0,0,Valores!E15/R23)</f>
        <v>0.01875</v>
      </c>
      <c r="S15" s="10">
        <f>IF(S23=0,0,Valores!F15/S23)</f>
        <v>0</v>
      </c>
      <c r="T15" s="10">
        <f>IF(T23=0,0,Valores!G15/T23)</f>
        <v>0</v>
      </c>
      <c r="U15" s="10">
        <f>IF(U23=0,0,Valores!H15/U23)</f>
        <v>0</v>
      </c>
      <c r="V15" s="10">
        <f>IF(V23=0,0,Valores!I15/V23)</f>
        <v>0</v>
      </c>
      <c r="W15" s="10">
        <f>IF(W23=0,0,Valores!J15/W23)</f>
        <v>0</v>
      </c>
      <c r="X15" s="10">
        <f>IF(X23=0,0,Valores!K15/X23)</f>
        <v>0</v>
      </c>
      <c r="Y15" s="10">
        <f>IF(Y23=0,0,Valores!L15/Y23)</f>
        <v>0.014927229754944645</v>
      </c>
    </row>
    <row r="16" spans="1:25" ht="12.75" outlineLevel="2">
      <c r="A16" s="4" t="s">
        <v>3</v>
      </c>
      <c r="B16" s="40">
        <f>IF(Valores!B24=0,0,Valores!B16/Valores!B24)</f>
        <v>0.01005586592178771</v>
      </c>
      <c r="C16" s="40">
        <f>IF(Valores!C24=0,0,Valores!C16/Valores!C24)</f>
        <v>0.009737098344693282</v>
      </c>
      <c r="D16" s="40">
        <f>IF(Valores!D24=0,0,Valores!D16/Valores!D24)</f>
        <v>0.02109704641350211</v>
      </c>
      <c r="E16" s="40">
        <f>IF(Valores!E24=0,0,Valores!E16/Valores!E24)</f>
        <v>0.02857142857142857</v>
      </c>
      <c r="F16" s="40">
        <f>IF(Valores!F24=0,0,Valores!F16/Valores!F24)</f>
        <v>0</v>
      </c>
      <c r="G16" s="40">
        <f>IF(Valores!G24=0,0,Valores!G16/Valores!G24)</f>
        <v>0</v>
      </c>
      <c r="H16" s="40">
        <f>IF(Valores!H24=0,0,Valores!H16/Valores!H24)</f>
        <v>0</v>
      </c>
      <c r="I16" s="40">
        <f>IF(Valores!I24=0,0,Valores!I16/Valores!I24)</f>
        <v>0</v>
      </c>
      <c r="J16" s="40">
        <f>IF(Valores!J24=0,0,Valores!J16/Valores!J24)</f>
        <v>0</v>
      </c>
      <c r="K16" s="40">
        <f>IF(Valores!K24=0,0,Valores!K16/Valores!K24)</f>
        <v>0</v>
      </c>
      <c r="L16" s="40">
        <f>IF(Valores!L24=0,0,Valores!L16/Valores!L24)</f>
        <v>0.022172949002217297</v>
      </c>
      <c r="M16" s="86"/>
      <c r="N16" s="85" t="s">
        <v>236</v>
      </c>
      <c r="O16" s="10">
        <f>IF(O23=0,0,Valores!B16/O23)</f>
        <v>0.012949640287769784</v>
      </c>
      <c r="P16" s="10">
        <f>IF(P23=0,0,Valores!C16/P23)</f>
        <v>0.01303780964797914</v>
      </c>
      <c r="Q16" s="10">
        <f>IF(Q23=0,0,Valores!D16/Q23)</f>
        <v>0.02621231979030144</v>
      </c>
      <c r="R16" s="10">
        <f>IF(R23=0,0,Valores!E16/R23)</f>
        <v>0.0375</v>
      </c>
      <c r="S16" s="10">
        <f>IF(S23=0,0,Valores!F16/S23)</f>
        <v>0</v>
      </c>
      <c r="T16" s="10">
        <f>IF(T23=0,0,Valores!G16/T23)</f>
        <v>0</v>
      </c>
      <c r="U16" s="10">
        <f>IF(U23=0,0,Valores!H16/U23)</f>
        <v>0</v>
      </c>
      <c r="V16" s="10">
        <f>IF(V23=0,0,Valores!I16/V23)</f>
        <v>0</v>
      </c>
      <c r="W16" s="10">
        <f>IF(W23=0,0,Valores!J16/W23)</f>
        <v>0</v>
      </c>
      <c r="X16" s="10">
        <f>IF(X23=0,0,Valores!K16/X23)</f>
        <v>0</v>
      </c>
      <c r="Y16" s="10">
        <f>IF(Y23=0,0,Valores!L16/Y23)</f>
        <v>0.02985445950988929</v>
      </c>
    </row>
    <row r="17" spans="1:25" ht="12.75" outlineLevel="2">
      <c r="A17" s="4" t="s">
        <v>39</v>
      </c>
      <c r="B17" s="40">
        <f>IF(Valores!B24=0,0,Valores!B17/Valores!B24)</f>
        <v>0</v>
      </c>
      <c r="C17" s="40">
        <f>IF(Valores!C24=0,0,Valores!C17/Valores!C24)</f>
        <v>0</v>
      </c>
      <c r="D17" s="40">
        <f>IF(Valores!D24=0,0,Valores!D17/Valores!D24)</f>
        <v>0</v>
      </c>
      <c r="E17" s="40">
        <f>IF(Valores!E24=0,0,Valores!E17/Valores!E24)</f>
        <v>0</v>
      </c>
      <c r="F17" s="40">
        <f>IF(Valores!F24=0,0,Valores!F17/Valores!F24)</f>
        <v>0</v>
      </c>
      <c r="G17" s="40">
        <f>IF(Valores!G24=0,0,Valores!G17/Valores!G24)</f>
        <v>0</v>
      </c>
      <c r="H17" s="40">
        <f>IF(Valores!H24=0,0,Valores!H17/Valores!H24)</f>
        <v>0</v>
      </c>
      <c r="I17" s="40">
        <f>IF(Valores!I24=0,0,Valores!I17/Valores!I24)</f>
        <v>0</v>
      </c>
      <c r="J17" s="40">
        <f>IF(Valores!J24=0,0,Valores!J17/Valores!J24)</f>
        <v>0</v>
      </c>
      <c r="K17" s="40">
        <f>IF(Valores!K24=0,0,Valores!K17/Valores!K24)</f>
        <v>0</v>
      </c>
      <c r="L17" s="40">
        <f>IF(Valores!L24=0,0,Valores!L17/Valores!L24)</f>
        <v>0</v>
      </c>
      <c r="M17" s="86"/>
      <c r="N17" s="4" t="s">
        <v>39</v>
      </c>
      <c r="O17" s="10">
        <f>IF(O23=0,0,Valores!B17/O23)</f>
        <v>0</v>
      </c>
      <c r="P17" s="10">
        <f>IF(P23=0,0,Valores!C17/P23)</f>
        <v>0</v>
      </c>
      <c r="Q17" s="10">
        <f>IF(Q23=0,0,Valores!D17/Q23)</f>
        <v>0</v>
      </c>
      <c r="R17" s="10">
        <f>IF(R23=0,0,Valores!E17/R23)</f>
        <v>0</v>
      </c>
      <c r="S17" s="10">
        <f>IF(S23=0,0,Valores!F17/S23)</f>
        <v>0</v>
      </c>
      <c r="T17" s="10">
        <f>IF(T23=0,0,Valores!G17/T23)</f>
        <v>0</v>
      </c>
      <c r="U17" s="10">
        <f>IF(U23=0,0,Valores!H17/U23)</f>
        <v>0</v>
      </c>
      <c r="V17" s="10">
        <f>IF(V23=0,0,Valores!I17/V23)</f>
        <v>0</v>
      </c>
      <c r="W17" s="10">
        <f>IF(W23=0,0,Valores!J17/W23)</f>
        <v>0</v>
      </c>
      <c r="X17" s="10">
        <f>IF(X23=0,0,Valores!K17/X23)</f>
        <v>0</v>
      </c>
      <c r="Y17" s="10">
        <f>IF(Y23=0,0,Valores!L17/Y23)</f>
        <v>0</v>
      </c>
    </row>
    <row r="18" spans="1:25" ht="12.75" outlineLevel="2">
      <c r="A18" s="4" t="s">
        <v>40</v>
      </c>
      <c r="B18" s="40">
        <f>IF(Valores!B24=0,0,Valores!B18/Valores!B24)</f>
        <v>0.0223463687150838</v>
      </c>
      <c r="C18" s="40">
        <f>IF(Valores!C24=0,0,Valores!C18/Valores!C24)</f>
        <v>0.009737098344693282</v>
      </c>
      <c r="D18" s="40">
        <f>IF(Valores!D24=0,0,Valores!D18/Valores!D24)</f>
        <v>0.004746835443037975</v>
      </c>
      <c r="E18" s="40">
        <f>IF(Valores!E24=0,0,Valores!E18/Valores!E24)</f>
        <v>0.004761904761904762</v>
      </c>
      <c r="F18" s="40">
        <f>IF(Valores!F24=0,0,Valores!F18/Valores!F24)</f>
        <v>0</v>
      </c>
      <c r="G18" s="40">
        <f>IF(Valores!G24=0,0,Valores!G18/Valores!G24)</f>
        <v>0</v>
      </c>
      <c r="H18" s="40">
        <f>IF(Valores!H24=0,0,Valores!H18/Valores!H24)</f>
        <v>0</v>
      </c>
      <c r="I18" s="40">
        <f>IF(Valores!I24=0,0,Valores!I18/Valores!I24)</f>
        <v>0</v>
      </c>
      <c r="J18" s="40">
        <f>IF(Valores!J24=0,0,Valores!J18/Valores!J24)</f>
        <v>0</v>
      </c>
      <c r="K18" s="40">
        <f>IF(Valores!K24=0,0,Valores!K18/Valores!K24)</f>
        <v>0</v>
      </c>
      <c r="L18" s="40">
        <f>IF(Valores!L24=0,0,Valores!L18/Valores!L24)</f>
        <v>0.011086474501108648</v>
      </c>
      <c r="M18" s="86"/>
      <c r="N18" s="4" t="s">
        <v>40</v>
      </c>
      <c r="O18" s="10">
        <f>IF(O23=0,0,Valores!B18/O23)</f>
        <v>0.02877697841726619</v>
      </c>
      <c r="P18" s="10">
        <f>IF(P23=0,0,Valores!C18/P23)</f>
        <v>0.01303780964797914</v>
      </c>
      <c r="Q18" s="10">
        <f>IF(Q23=0,0,Valores!D18/Q23)</f>
        <v>0.005897771952817824</v>
      </c>
      <c r="R18" s="10">
        <f>IF(R23=0,0,Valores!E18/R23)</f>
        <v>0.00625</v>
      </c>
      <c r="S18" s="10">
        <f>IF(S23=0,0,Valores!F18/S23)</f>
        <v>0</v>
      </c>
      <c r="T18" s="10">
        <f>IF(T23=0,0,Valores!G18/T23)</f>
        <v>0</v>
      </c>
      <c r="U18" s="10">
        <f>IF(U23=0,0,Valores!H18/U23)</f>
        <v>0</v>
      </c>
      <c r="V18" s="10">
        <f>IF(V23=0,0,Valores!I18/V23)</f>
        <v>0</v>
      </c>
      <c r="W18" s="10">
        <f>IF(W23=0,0,Valores!J18/W23)</f>
        <v>0</v>
      </c>
      <c r="X18" s="10">
        <f>IF(X23=0,0,Valores!K18/X23)</f>
        <v>0</v>
      </c>
      <c r="Y18" s="10">
        <f>IF(Y23=0,0,Valores!L18/Y23)</f>
        <v>0.014927229754944645</v>
      </c>
    </row>
    <row r="19" spans="1:25" ht="12.75" outlineLevel="2">
      <c r="A19" s="4" t="s">
        <v>26</v>
      </c>
      <c r="B19" s="40">
        <f>IF(Valores!B24=0,0,Valores!B19/Valores!B24)</f>
        <v>0</v>
      </c>
      <c r="C19" s="40">
        <f>IF(Valores!C24=0,0,Valores!C19/Valores!C24)</f>
        <v>0</v>
      </c>
      <c r="D19" s="40">
        <f>IF(Valores!D24=0,0,Valores!D19/Valores!D24)</f>
        <v>0</v>
      </c>
      <c r="E19" s="40">
        <f>IF(Valores!E24=0,0,Valores!E19/Valores!E24)</f>
        <v>0</v>
      </c>
      <c r="F19" s="40">
        <f>IF(Valores!F24=0,0,Valores!F19/Valores!F24)</f>
        <v>0</v>
      </c>
      <c r="G19" s="40">
        <f>IF(Valores!G24=0,0,Valores!G19/Valores!G24)</f>
        <v>0</v>
      </c>
      <c r="H19" s="40">
        <f>IF(Valores!H24=0,0,Valores!H19/Valores!H24)</f>
        <v>0</v>
      </c>
      <c r="I19" s="40">
        <f>IF(Valores!I24=0,0,Valores!I19/Valores!I24)</f>
        <v>0</v>
      </c>
      <c r="J19" s="40">
        <f>IF(Valores!J24=0,0,Valores!J19/Valores!J24)</f>
        <v>0</v>
      </c>
      <c r="K19" s="40">
        <f>IF(Valores!K24=0,0,Valores!K19/Valores!K24)</f>
        <v>0</v>
      </c>
      <c r="L19" s="40">
        <f>IF(Valores!L24=0,0,Valores!L19/Valores!L24)</f>
        <v>0</v>
      </c>
      <c r="M19" s="86"/>
      <c r="N19" s="4" t="s">
        <v>26</v>
      </c>
      <c r="O19" s="10">
        <f>IF(O23=0,0,Valores!B19/O23)</f>
        <v>0</v>
      </c>
      <c r="P19" s="10">
        <f>IF(P23=0,0,Valores!C19/P23)</f>
        <v>0</v>
      </c>
      <c r="Q19" s="10">
        <f>IF(Q23=0,0,Valores!D19/Q23)</f>
        <v>0</v>
      </c>
      <c r="R19" s="10">
        <f>IF(R23=0,0,Valores!E19/R23)</f>
        <v>0</v>
      </c>
      <c r="S19" s="10">
        <f>IF(S23=0,0,Valores!F19/S23)</f>
        <v>0</v>
      </c>
      <c r="T19" s="10">
        <f>IF(T23=0,0,Valores!G19/T23)</f>
        <v>0</v>
      </c>
      <c r="U19" s="10">
        <f>IF(U23=0,0,Valores!H19/U23)</f>
        <v>0</v>
      </c>
      <c r="V19" s="10">
        <f>IF(V23=0,0,Valores!I19/V23)</f>
        <v>0</v>
      </c>
      <c r="W19" s="10">
        <f>IF(W23=0,0,Valores!J19/W23)</f>
        <v>0</v>
      </c>
      <c r="X19" s="10">
        <f>IF(X23=0,0,Valores!K19/X23)</f>
        <v>0</v>
      </c>
      <c r="Y19" s="10">
        <f>IF(Y23=0,0,Valores!L19/Y23)</f>
        <v>0</v>
      </c>
    </row>
    <row r="20" spans="1:14" ht="12.75" outlineLevel="2">
      <c r="A20" s="4" t="s">
        <v>41</v>
      </c>
      <c r="B20" s="40">
        <f>IF(Valores!B24=0,0,Valores!B20/Valores!B24)</f>
        <v>0</v>
      </c>
      <c r="C20" s="40">
        <f>IF(Valores!C24=0,0,Valores!C20/Valores!C24)</f>
        <v>0</v>
      </c>
      <c r="D20" s="40">
        <f>IF(Valores!D24=0,0,Valores!D20/Valores!D24)</f>
        <v>0</v>
      </c>
      <c r="E20" s="40">
        <f>IF(Valores!E24=0,0,Valores!E20/Valores!E24)</f>
        <v>0</v>
      </c>
      <c r="F20" s="40">
        <f>IF(Valores!F24=0,0,Valores!F20/Valores!F24)</f>
        <v>0</v>
      </c>
      <c r="G20" s="40">
        <f>IF(Valores!G24=0,0,Valores!G20/Valores!G24)</f>
        <v>0</v>
      </c>
      <c r="H20" s="40">
        <f>IF(Valores!H24=0,0,Valores!H20/Valores!H24)</f>
        <v>0</v>
      </c>
      <c r="I20" s="40">
        <f>IF(Valores!I24=0,0,Valores!I20/Valores!I24)</f>
        <v>0</v>
      </c>
      <c r="J20" s="40">
        <f>IF(Valores!J24=0,0,Valores!J20/Valores!J24)</f>
        <v>0</v>
      </c>
      <c r="K20" s="40">
        <f>IF(Valores!K24=0,0,Valores!K20/Valores!K24)</f>
        <v>0</v>
      </c>
      <c r="L20" s="40">
        <f>IF(Valores!L24=0,0,Valores!L20/Valores!L24)</f>
        <v>0</v>
      </c>
      <c r="M20" s="86"/>
      <c r="N20" s="4"/>
    </row>
    <row r="21" spans="1:25" ht="12.75" outlineLevel="2">
      <c r="A21" s="4" t="s">
        <v>43</v>
      </c>
      <c r="B21" s="40">
        <f>IF(Valores!B24=0,0,Valores!B21/Valores!B24)</f>
        <v>0</v>
      </c>
      <c r="C21" s="40">
        <f>IF(Valores!C24=0,0,Valores!C21/Valores!C24)</f>
        <v>0</v>
      </c>
      <c r="D21" s="40">
        <f>IF(Valores!D24=0,0,Valores!D21/Valores!D24)</f>
        <v>0</v>
      </c>
      <c r="E21" s="40">
        <f>IF(Valores!E24=0,0,Valores!E21/Valores!E24)</f>
        <v>0</v>
      </c>
      <c r="F21" s="40">
        <f>IF(Valores!F24=0,0,Valores!F21/Valores!F24)</f>
        <v>0</v>
      </c>
      <c r="G21" s="40">
        <f>IF(Valores!G24=0,0,Valores!G21/Valores!G24)</f>
        <v>0</v>
      </c>
      <c r="H21" s="40">
        <f>IF(Valores!H24=0,0,Valores!H21/Valores!H24)</f>
        <v>0</v>
      </c>
      <c r="I21" s="40">
        <f>IF(Valores!I24=0,0,Valores!I21/Valores!I24)</f>
        <v>0</v>
      </c>
      <c r="J21" s="40">
        <f>IF(Valores!J24=0,0,Valores!J21/Valores!J24)</f>
        <v>0</v>
      </c>
      <c r="K21" s="40">
        <f>IF(Valores!K24=0,0,Valores!K21/Valores!K24)</f>
        <v>0</v>
      </c>
      <c r="L21" s="40">
        <f>IF(Valores!L24=0,0,Valores!L21/Valores!L24)</f>
        <v>0</v>
      </c>
      <c r="M21" s="86"/>
      <c r="N21" s="4" t="s">
        <v>43</v>
      </c>
      <c r="O21" s="10">
        <f>IF(O23=0,0,Valores!B21/O23)</f>
        <v>0</v>
      </c>
      <c r="P21" s="10">
        <f>IF(P23=0,0,Valores!C21/P23)</f>
        <v>0</v>
      </c>
      <c r="Q21" s="10">
        <f>IF(Q23=0,0,Valores!D21/Q23)</f>
        <v>0</v>
      </c>
      <c r="R21" s="10">
        <f>IF(R23=0,0,Valores!E21/R23)</f>
        <v>0</v>
      </c>
      <c r="S21" s="10">
        <f>IF(S23=0,0,Valores!F21/S23)</f>
        <v>0</v>
      </c>
      <c r="T21" s="10">
        <f>IF(T23=0,0,Valores!G21/T23)</f>
        <v>0</v>
      </c>
      <c r="U21" s="10">
        <f>IF(U23=0,0,Valores!H21/U23)</f>
        <v>0</v>
      </c>
      <c r="V21" s="10">
        <f>IF(V23=0,0,Valores!I21/V23)</f>
        <v>0</v>
      </c>
      <c r="W21" s="10">
        <f>IF(W23=0,0,Valores!J21/W23)</f>
        <v>0</v>
      </c>
      <c r="X21" s="10">
        <f>IF(X23=0,0,Valores!K21/X23)</f>
        <v>0</v>
      </c>
      <c r="Y21" s="10">
        <f>IF(Y23=0,0,Valores!L21/Y23)</f>
        <v>0</v>
      </c>
    </row>
    <row r="22" spans="1:25" ht="12.75" outlineLevel="2">
      <c r="A22" s="56" t="s">
        <v>87</v>
      </c>
      <c r="B22" s="43">
        <f>IF(Valores!B24=0,0,Valores!B22/Valores!B24)</f>
        <v>0.04357541899441341</v>
      </c>
      <c r="C22" s="43">
        <f>IF(Valores!C24=0,0,Valores!C22/Valores!C24)</f>
        <v>0.034079844206426485</v>
      </c>
      <c r="D22" s="43">
        <f>IF(Valores!D24=0,0,Valores!D22/Valores!D24)</f>
        <v>0.04061181434599156</v>
      </c>
      <c r="E22" s="43">
        <f>IF(Valores!E24=0,0,Valores!E22/Valores!E24)</f>
        <v>0.047619047619047616</v>
      </c>
      <c r="F22" s="43">
        <f>IF(Valores!F24=0,0,Valores!F22/Valores!F24)</f>
        <v>0</v>
      </c>
      <c r="G22" s="43">
        <f>IF(Valores!G24=0,0,Valores!G22/Valores!G24)</f>
        <v>0</v>
      </c>
      <c r="H22" s="43">
        <f>IF(Valores!H24=0,0,Valores!H22/Valores!H24)</f>
        <v>0</v>
      </c>
      <c r="I22" s="43">
        <f>IF(Valores!I24=0,0,Valores!I22/Valores!I24)</f>
        <v>0</v>
      </c>
      <c r="J22" s="43">
        <f>IF(Valores!J24=0,0,Valores!J22/Valores!J24)</f>
        <v>0</v>
      </c>
      <c r="K22" s="43">
        <f>IF(Valores!K24=0,0,Valores!K22/Valores!K24)</f>
        <v>0</v>
      </c>
      <c r="L22" s="43">
        <f>IF(Valores!L24=0,0,Valores!L22/Valores!L24)</f>
        <v>0.04434589800443459</v>
      </c>
      <c r="M22" s="86"/>
      <c r="N22" s="56" t="s">
        <v>87</v>
      </c>
      <c r="O22" s="43">
        <f>IF(O23=0,0,(Valores!B22-Valores!B20)/O23)</f>
        <v>0.05611510791366906</v>
      </c>
      <c r="P22" s="43">
        <f>IF(P23=0,0,(Valores!C22-Valores!C20)/P23)</f>
        <v>0.04563233376792699</v>
      </c>
      <c r="Q22" s="43">
        <f>IF(Q23=0,0,(Valores!D22-Valores!D20)/Q23)</f>
        <v>0.05045871559633028</v>
      </c>
      <c r="R22" s="43">
        <f>IF(R23=0,0,(Valores!E22-Valores!E20)/R23)</f>
        <v>0.0625</v>
      </c>
      <c r="S22" s="43">
        <f>IF(S23=0,0,(Valores!F22-Valores!F20)/S23)</f>
        <v>0</v>
      </c>
      <c r="T22" s="43">
        <f>IF(T23=0,0,(Valores!G22-Valores!G20)/T23)</f>
        <v>0</v>
      </c>
      <c r="U22" s="43">
        <f>IF(U23=0,0,(Valores!H22-Valores!H20)/U23)</f>
        <v>0</v>
      </c>
      <c r="V22" s="43">
        <f>IF(V23=0,0,(Valores!I22-Valores!I20)/V23)</f>
        <v>0</v>
      </c>
      <c r="W22" s="43">
        <f>IF(W23=0,0,(Valores!J22-Valores!J20)/W23)</f>
        <v>0</v>
      </c>
      <c r="X22" s="43">
        <f>IF(X23=0,0,(Valores!K22-Valores!K20)/X23)</f>
        <v>0</v>
      </c>
      <c r="Y22" s="43">
        <f>IF(Y23=0,0,(Valores!L22-Valores!L20)/Y23)</f>
        <v>0.05970891901977858</v>
      </c>
    </row>
    <row r="23" spans="1:25" ht="12.75" outlineLevel="1">
      <c r="A23" s="3" t="s">
        <v>85</v>
      </c>
      <c r="B23" s="35">
        <f>Valores!B23</f>
        <v>13900</v>
      </c>
      <c r="C23" s="35">
        <f>Valores!C23</f>
        <v>15340</v>
      </c>
      <c r="D23" s="35">
        <f>Valores!D23</f>
        <v>30520</v>
      </c>
      <c r="E23" s="35">
        <f>Valores!E23</f>
        <v>32000</v>
      </c>
      <c r="F23" s="35">
        <f>Valores!F23</f>
        <v>0</v>
      </c>
      <c r="G23" s="35">
        <f>Valores!G23</f>
        <v>0</v>
      </c>
      <c r="H23" s="35">
        <f>Valores!H23</f>
        <v>0</v>
      </c>
      <c r="I23" s="35">
        <f>Valores!I23</f>
        <v>0</v>
      </c>
      <c r="J23" s="35">
        <f>Valores!J23</f>
        <v>0</v>
      </c>
      <c r="K23" s="35">
        <f>Valores!K23</f>
        <v>0</v>
      </c>
      <c r="L23" s="35">
        <f>Valores!L23</f>
        <v>40195</v>
      </c>
      <c r="M23" s="89"/>
      <c r="N23" s="3" t="s">
        <v>85</v>
      </c>
      <c r="O23">
        <f>B23-Valores!B42</f>
        <v>13900</v>
      </c>
      <c r="P23">
        <f>C23-Valores!C42</f>
        <v>15340</v>
      </c>
      <c r="Q23">
        <f>D23-Valores!D42</f>
        <v>30520</v>
      </c>
      <c r="R23">
        <f>E23-Valores!E42</f>
        <v>32000</v>
      </c>
      <c r="S23">
        <f>F23-Valores!F42</f>
        <v>0</v>
      </c>
      <c r="T23">
        <f>G23-Valores!G42</f>
        <v>0</v>
      </c>
      <c r="U23">
        <f>H23-Valores!H42</f>
        <v>0</v>
      </c>
      <c r="V23">
        <f>I23-Valores!I42</f>
        <v>0</v>
      </c>
      <c r="W23">
        <f>J23-Valores!J42</f>
        <v>0</v>
      </c>
      <c r="X23">
        <f>K23-Valores!K42</f>
        <v>0</v>
      </c>
      <c r="Y23">
        <f>L23-Valores!L42</f>
        <v>40195</v>
      </c>
    </row>
    <row r="24" spans="1:13" ht="12.75" outlineLevel="1">
      <c r="A24" s="3" t="s">
        <v>84</v>
      </c>
      <c r="B24" s="35">
        <f>Valores!B24</f>
        <v>17900</v>
      </c>
      <c r="C24" s="35">
        <f>Valores!C24</f>
        <v>20540</v>
      </c>
      <c r="D24" s="35">
        <f>Valores!D24</f>
        <v>37920</v>
      </c>
      <c r="E24" s="35">
        <f>Valores!E24</f>
        <v>42000</v>
      </c>
      <c r="F24" s="35">
        <f>Valores!F24</f>
        <v>0</v>
      </c>
      <c r="G24" s="35">
        <f>Valores!G24</f>
        <v>0</v>
      </c>
      <c r="H24" s="35">
        <f>Valores!H24</f>
        <v>0</v>
      </c>
      <c r="I24" s="35">
        <f>Valores!I24</f>
        <v>0</v>
      </c>
      <c r="J24" s="35">
        <f>Valores!J24</f>
        <v>0</v>
      </c>
      <c r="K24" s="35">
        <f>Valores!K24</f>
        <v>0</v>
      </c>
      <c r="L24" s="35">
        <f>Valores!L24</f>
        <v>54120</v>
      </c>
      <c r="M24" s="89"/>
    </row>
    <row r="26" spans="1:25" s="12" customFormat="1" ht="12.75">
      <c r="A26" s="1" t="s">
        <v>1</v>
      </c>
      <c r="B26" s="1">
        <f>B3</f>
        <v>1992</v>
      </c>
      <c r="C26" s="1">
        <f aca="true" t="shared" si="2" ref="C26:K26">C3</f>
        <v>1993</v>
      </c>
      <c r="D26" s="1">
        <f t="shared" si="2"/>
        <v>1994</v>
      </c>
      <c r="E26" s="1">
        <f t="shared" si="2"/>
        <v>1995</v>
      </c>
      <c r="F26" s="1">
        <f t="shared" si="2"/>
        <v>1996</v>
      </c>
      <c r="G26" s="1">
        <f t="shared" si="2"/>
        <v>1997</v>
      </c>
      <c r="H26" s="1">
        <f t="shared" si="2"/>
        <v>1998</v>
      </c>
      <c r="I26" s="1">
        <f t="shared" si="2"/>
        <v>1999</v>
      </c>
      <c r="J26" s="1">
        <f t="shared" si="2"/>
        <v>2000</v>
      </c>
      <c r="K26" s="1">
        <f t="shared" si="2"/>
        <v>2001</v>
      </c>
      <c r="L26" s="1" t="str">
        <f>L3</f>
        <v>PREV</v>
      </c>
      <c r="O26" s="1">
        <f aca="true" t="shared" si="3" ref="O26:Y26">B26</f>
        <v>1992</v>
      </c>
      <c r="P26" s="1">
        <f t="shared" si="3"/>
        <v>1993</v>
      </c>
      <c r="Q26" s="1">
        <f t="shared" si="3"/>
        <v>1994</v>
      </c>
      <c r="R26" s="1">
        <f t="shared" si="3"/>
        <v>1995</v>
      </c>
      <c r="S26" s="1">
        <f t="shared" si="3"/>
        <v>1996</v>
      </c>
      <c r="T26" s="1">
        <f t="shared" si="3"/>
        <v>1997</v>
      </c>
      <c r="U26" s="1">
        <f t="shared" si="3"/>
        <v>1998</v>
      </c>
      <c r="V26" s="1">
        <f t="shared" si="3"/>
        <v>1999</v>
      </c>
      <c r="W26" s="1">
        <f t="shared" si="3"/>
        <v>2000</v>
      </c>
      <c r="X26" s="1">
        <f t="shared" si="3"/>
        <v>2001</v>
      </c>
      <c r="Y26" s="1" t="str">
        <f t="shared" si="3"/>
        <v>PREV</v>
      </c>
    </row>
    <row r="27" spans="1:14" ht="12.75" outlineLevel="2">
      <c r="A27" s="2" t="s">
        <v>5</v>
      </c>
      <c r="B27" s="44">
        <f>IF(Valores!B47=0,0,Valores!B27/Valores!B47)</f>
        <v>0.1340782122905028</v>
      </c>
      <c r="C27" s="44">
        <f>IF(Valores!C47=0,0,Valores!C27/Valores!C47)</f>
        <v>0.11684518013631938</v>
      </c>
      <c r="D27" s="44">
        <f>IF(Valores!D47=0,0,Valores!D27/Valores!D47)</f>
        <v>0.06329113924050633</v>
      </c>
      <c r="E27" s="44">
        <f>IF(Valores!E47=0,0,Valores!E27/Valores!E47)</f>
        <v>0.05714285714285714</v>
      </c>
      <c r="F27" s="44">
        <f>IF(Valores!F47=0,0,Valores!F27/Valores!F47)</f>
        <v>0</v>
      </c>
      <c r="G27" s="44">
        <f>IF(Valores!G47=0,0,Valores!G27/Valores!G47)</f>
        <v>0</v>
      </c>
      <c r="H27" s="44">
        <f>IF(Valores!H47=0,0,Valores!H27/Valores!H47)</f>
        <v>0</v>
      </c>
      <c r="I27" s="44">
        <f>IF(Valores!I47=0,0,Valores!I27/Valores!I47)</f>
        <v>0</v>
      </c>
      <c r="J27" s="44">
        <f>IF(Valores!J47=0,0,Valores!J27/Valores!J47)</f>
        <v>0</v>
      </c>
      <c r="K27" s="44">
        <f>IF(Valores!K47=0,0,Valores!K27/Valores!K47)</f>
        <v>0</v>
      </c>
      <c r="L27" s="44">
        <f>IF(Valores!L47=0,0,Valores!L27/Valores!L47)</f>
        <v>0.07351679858847747</v>
      </c>
      <c r="N27" s="2"/>
    </row>
    <row r="28" spans="1:14" ht="12.75" outlineLevel="2">
      <c r="A28" s="2" t="s">
        <v>24</v>
      </c>
      <c r="B28" s="44">
        <f>IF(Valores!B47=0,0,Valores!B28/Valores!B47)</f>
        <v>0.2122905027932961</v>
      </c>
      <c r="C28" s="44">
        <f>IF(Valores!C47=0,0,Valores!C28/Valores!C47)</f>
        <v>0.2921129503407984</v>
      </c>
      <c r="D28" s="44">
        <f>IF(Valores!D47=0,0,Valores!D28/Valores!D47)</f>
        <v>0.2320675105485232</v>
      </c>
      <c r="E28" s="44">
        <f>IF(Valores!E47=0,0,Valores!E28/Valores!E47)</f>
        <v>0.2761904761904762</v>
      </c>
      <c r="F28" s="44">
        <f>IF(Valores!F47=0,0,Valores!F28/Valores!F47)</f>
        <v>0</v>
      </c>
      <c r="G28" s="44">
        <f>IF(Valores!G47=0,0,Valores!G28/Valores!G47)</f>
        <v>0</v>
      </c>
      <c r="H28" s="44">
        <f>IF(Valores!H47=0,0,Valores!H28/Valores!H47)</f>
        <v>0</v>
      </c>
      <c r="I28" s="44">
        <f>IF(Valores!I47=0,0,Valores!I28/Valores!I47)</f>
        <v>0</v>
      </c>
      <c r="J28" s="44">
        <f>IF(Valores!J47=0,0,Valores!J28/Valores!J47)</f>
        <v>0</v>
      </c>
      <c r="K28" s="44">
        <f>IF(Valores!K47=0,0,Valores!K28/Valores!K47)</f>
        <v>0</v>
      </c>
      <c r="L28" s="44">
        <f>IF(Valores!L47=0,0,Valores!L28/Valores!L47)</f>
        <v>0.3553311931776411</v>
      </c>
      <c r="N28" s="2"/>
    </row>
    <row r="29" spans="1:14" ht="12.75" outlineLevel="2">
      <c r="A29" s="2" t="s">
        <v>43</v>
      </c>
      <c r="B29" s="44">
        <f>IF(Valores!B47=0,0,Valores!B29/Valores!B47)</f>
        <v>0</v>
      </c>
      <c r="C29" s="44">
        <f>IF(Valores!C47=0,0,Valores!C29/Valores!C47)</f>
        <v>0</v>
      </c>
      <c r="D29" s="44">
        <f>IF(Valores!D47=0,0,Valores!D29/Valores!D47)</f>
        <v>0</v>
      </c>
      <c r="E29" s="44">
        <f>IF(Valores!E47=0,0,Valores!E29/Valores!E47)</f>
        <v>0</v>
      </c>
      <c r="F29" s="44">
        <f>IF(Valores!F47=0,0,Valores!F29/Valores!F47)</f>
        <v>0</v>
      </c>
      <c r="G29" s="44">
        <f>IF(Valores!G47=0,0,Valores!G29/Valores!G47)</f>
        <v>0</v>
      </c>
      <c r="H29" s="44">
        <f>IF(Valores!H47=0,0,Valores!H29/Valores!H47)</f>
        <v>0</v>
      </c>
      <c r="I29" s="44">
        <f>IF(Valores!I47=0,0,Valores!I29/Valores!I47)</f>
        <v>0</v>
      </c>
      <c r="J29" s="44">
        <f>IF(Valores!J47=0,0,Valores!J29/Valores!J47)</f>
        <v>0</v>
      </c>
      <c r="K29" s="44">
        <f>IF(Valores!K47=0,0,Valores!K29/Valores!K47)</f>
        <v>0</v>
      </c>
      <c r="L29" s="44">
        <f>IF(Valores!L47=0,0,Valores!L29/Valores!L47)</f>
        <v>0</v>
      </c>
      <c r="N29" s="2"/>
    </row>
    <row r="30" spans="1:25" ht="12.75" outlineLevel="2">
      <c r="A30" s="37" t="s">
        <v>6</v>
      </c>
      <c r="B30" s="43">
        <f>IF(Valores!B47=0,0,Valores!B30/Valores!B47)</f>
        <v>0.3463687150837989</v>
      </c>
      <c r="C30" s="43">
        <f>IF(Valores!C47=0,0,Valores!C30/Valores!C47)</f>
        <v>0.4089581304771178</v>
      </c>
      <c r="D30" s="43">
        <f>IF(Valores!D47=0,0,Valores!D30/Valores!D47)</f>
        <v>0.29535864978902954</v>
      </c>
      <c r="E30" s="43">
        <f>IF(Valores!E47=0,0,Valores!E30/Valores!E47)</f>
        <v>0.3333333333333333</v>
      </c>
      <c r="F30" s="43">
        <f>IF(Valores!F47=0,0,Valores!F30/Valores!F47)</f>
        <v>0</v>
      </c>
      <c r="G30" s="43">
        <f>IF(Valores!G47=0,0,Valores!G30/Valores!G47)</f>
        <v>0</v>
      </c>
      <c r="H30" s="43">
        <f>IF(Valores!H47=0,0,Valores!H30/Valores!H47)</f>
        <v>0</v>
      </c>
      <c r="I30" s="43">
        <f>IF(Valores!I47=0,0,Valores!I30/Valores!I47)</f>
        <v>0</v>
      </c>
      <c r="J30" s="43">
        <f>IF(Valores!J47=0,0,Valores!J30/Valores!J47)</f>
        <v>0</v>
      </c>
      <c r="K30" s="43">
        <f>IF(Valores!K47=0,0,Valores!K30/Valores!K47)</f>
        <v>0</v>
      </c>
      <c r="L30" s="43">
        <f>IF(Valores!L47=0,0,Valores!L30/Valores!L47)</f>
        <v>0.4288479917661186</v>
      </c>
      <c r="N30" s="37" t="s">
        <v>6</v>
      </c>
      <c r="O30" s="43">
        <f>IF(O46=0,0,Valores!B30/O46)</f>
        <v>0.4460431654676259</v>
      </c>
      <c r="P30" s="43">
        <f>IF(P46=0,0,Valores!C30/P46)</f>
        <v>0.5475880052151239</v>
      </c>
      <c r="Q30" s="43">
        <f>IF(Q46=0,0,Valores!D30/Q46)</f>
        <v>0.3669724770642202</v>
      </c>
      <c r="R30" s="43">
        <f>IF(R46=0,0,Valores!E30/R46)</f>
        <v>0.4375</v>
      </c>
      <c r="S30" s="43">
        <f>IF(S46=0,0,Valores!F30/S46)</f>
        <v>0</v>
      </c>
      <c r="T30" s="43">
        <f>IF(T46=0,0,Valores!G30/T46)</f>
        <v>0</v>
      </c>
      <c r="U30" s="43">
        <f>IF(U46=0,0,Valores!H30/U46)</f>
        <v>0</v>
      </c>
      <c r="V30" s="43">
        <f>IF(V46=0,0,Valores!I30/V46)</f>
        <v>0</v>
      </c>
      <c r="W30" s="43">
        <f>IF(W46=0,0,Valores!J30/W46)</f>
        <v>0</v>
      </c>
      <c r="X30" s="43">
        <f>IF(X46=0,0,Valores!K30/X46)</f>
        <v>0</v>
      </c>
      <c r="Y30" s="43">
        <f>IF(Y46=0,0,Valores!L30/Y46)</f>
        <v>0.7478392786555987</v>
      </c>
    </row>
    <row r="31" spans="2:12" ht="12.75" outlineLevel="1"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outlineLevel="2">
      <c r="A32" s="37" t="s">
        <v>82</v>
      </c>
      <c r="B32" s="43">
        <f>IF(Valores!B47=0,0,Valores!B32/Valores!B47)</f>
        <v>0.22346368715083798</v>
      </c>
      <c r="C32" s="43">
        <f>IF(Valores!C47=0,0,Valores!C32/Valores!C47)</f>
        <v>0.25316455696202533</v>
      </c>
      <c r="D32" s="43">
        <f>IF(Valores!D47=0,0,Valores!D32/Valores!D47)</f>
        <v>0.19514767932489452</v>
      </c>
      <c r="E32" s="43">
        <f>IF(Valores!E47=0,0,Valores!E32/Valores!E47)</f>
        <v>0.23809523809523808</v>
      </c>
      <c r="F32" s="43">
        <f>IF(Valores!F47=0,0,Valores!F32/Valores!F47)</f>
        <v>0</v>
      </c>
      <c r="G32" s="43">
        <f>IF(Valores!G47=0,0,Valores!G32/Valores!G47)</f>
        <v>0</v>
      </c>
      <c r="H32" s="43">
        <f>IF(Valores!H47=0,0,Valores!H32/Valores!H47)</f>
        <v>0</v>
      </c>
      <c r="I32" s="43">
        <f>IF(Valores!I47=0,0,Valores!I32/Valores!I47)</f>
        <v>0</v>
      </c>
      <c r="J32" s="43">
        <f>IF(Valores!J47=0,0,Valores!J32/Valores!J47)</f>
        <v>0</v>
      </c>
      <c r="K32" s="43">
        <f>IF(Valores!K47=0,0,Valores!K32/Valores!K47)</f>
        <v>0</v>
      </c>
      <c r="L32" s="43">
        <f>IF(Valores!L47=0,0,Valores!L32/Valores!L47)</f>
        <v>0.42655059181022864</v>
      </c>
    </row>
    <row r="33" spans="2:12" ht="12.75" outlineLevel="1"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4" ht="12.75" outlineLevel="2">
      <c r="A34" s="2" t="s">
        <v>43</v>
      </c>
      <c r="B34" s="44">
        <f>IF(Valores!B47=0,0,Valores!B34/Valores!B47)</f>
        <v>0.33519553072625696</v>
      </c>
      <c r="C34" s="44">
        <f>IF(Valores!C47=0,0,Valores!C34/Valores!C47)</f>
        <v>0.24342745861733203</v>
      </c>
      <c r="D34" s="44">
        <f>IF(Valores!D47=0,0,Valores!D34/Valores!D47)</f>
        <v>0.10548523206751055</v>
      </c>
      <c r="E34" s="44">
        <f>IF(Valores!E47=0,0,Valores!E34/Valores!E47)</f>
        <v>0.07142857142857142</v>
      </c>
      <c r="F34" s="44">
        <f>IF(Valores!F47=0,0,Valores!F34/Valores!F47)</f>
        <v>0</v>
      </c>
      <c r="G34" s="44">
        <f>IF(Valores!G47=0,0,Valores!G34/Valores!G47)</f>
        <v>0</v>
      </c>
      <c r="H34" s="44">
        <f>IF(Valores!H47=0,0,Valores!H34/Valores!H47)</f>
        <v>0</v>
      </c>
      <c r="I34" s="44">
        <f>IF(Valores!I47=0,0,Valores!I34/Valores!I47)</f>
        <v>0</v>
      </c>
      <c r="J34" s="44">
        <f>IF(Valores!J47=0,0,Valores!J34/Valores!J47)</f>
        <v>0</v>
      </c>
      <c r="K34" s="44">
        <f>IF(Valores!K47=0,0,Valores!K34/Valores!K47)</f>
        <v>0</v>
      </c>
      <c r="L34" s="44">
        <f>IF(Valores!L47=0,0,Valores!L34/Valores!L47)</f>
        <v>0.06126399882373122</v>
      </c>
      <c r="N34" s="2"/>
    </row>
    <row r="35" spans="1:25" ht="12.75" outlineLevel="2">
      <c r="A35" s="37" t="s">
        <v>44</v>
      </c>
      <c r="B35" s="43">
        <f>IF(Valores!B47=0,0,Valores!B35/Valores!B47)</f>
        <v>0.33519553072625696</v>
      </c>
      <c r="C35" s="43">
        <f>IF(Valores!C47=0,0,Valores!C35/Valores!C47)</f>
        <v>0.24342745861733203</v>
      </c>
      <c r="D35" s="43">
        <f>IF(Valores!D47=0,0,Valores!D35/Valores!D47)</f>
        <v>0.10548523206751055</v>
      </c>
      <c r="E35" s="43">
        <f>IF(Valores!E47=0,0,Valores!E35/Valores!E47)</f>
        <v>0.07142857142857142</v>
      </c>
      <c r="F35" s="43">
        <f>IF(Valores!F47=0,0,Valores!F35/Valores!F47)</f>
        <v>0</v>
      </c>
      <c r="G35" s="43">
        <f>IF(Valores!G47=0,0,Valores!G35/Valores!G47)</f>
        <v>0</v>
      </c>
      <c r="H35" s="43">
        <f>IF(Valores!H47=0,0,Valores!H35/Valores!H47)</f>
        <v>0</v>
      </c>
      <c r="I35" s="43">
        <f>IF(Valores!I47=0,0,Valores!I35/Valores!I47)</f>
        <v>0</v>
      </c>
      <c r="J35" s="43">
        <f>IF(Valores!J47=0,0,Valores!J35/Valores!J47)</f>
        <v>0</v>
      </c>
      <c r="K35" s="43">
        <f>IF(Valores!K47=0,0,Valores!K35/Valores!K47)</f>
        <v>0</v>
      </c>
      <c r="L35" s="43">
        <f>IF(Valores!L47=0,0,Valores!L35/Valores!L47)</f>
        <v>0.06126399882373122</v>
      </c>
      <c r="N35" s="37" t="s">
        <v>44</v>
      </c>
      <c r="O35" s="43">
        <f>IF(O46=0,0,Valores!B35/O46)</f>
        <v>0.4316546762589928</v>
      </c>
      <c r="P35" s="43">
        <f>IF(P46=0,0,Valores!C35/P46)</f>
        <v>0.3259452411994785</v>
      </c>
      <c r="Q35" s="43">
        <f>IF(Q46=0,0,Valores!D35/Q46)</f>
        <v>0.1310615989515072</v>
      </c>
      <c r="R35" s="43">
        <f>IF(R46=0,0,Valores!E35/R46)</f>
        <v>0.09375</v>
      </c>
      <c r="S35" s="43">
        <f>IF(S46=0,0,Valores!F35/S46)</f>
        <v>0</v>
      </c>
      <c r="T35" s="43">
        <f>IF(T46=0,0,Valores!G35/T46)</f>
        <v>0</v>
      </c>
      <c r="U35" s="43">
        <f>IF(U46=0,0,Valores!H35/U46)</f>
        <v>0</v>
      </c>
      <c r="V35" s="43">
        <f>IF(V46=0,0,Valores!I35/V46)</f>
        <v>0</v>
      </c>
      <c r="W35" s="43">
        <f>IF(W46=0,0,Valores!J35/W46)</f>
        <v>0</v>
      </c>
      <c r="X35" s="43">
        <f>IF(X46=0,0,Valores!K35/X46)</f>
        <v>0</v>
      </c>
      <c r="Y35" s="43">
        <f>IF(Y46=0,0,Valores!L35/Y46)</f>
        <v>0.10683418266508553</v>
      </c>
    </row>
    <row r="36" spans="2:12" ht="12.75" outlineLevel="1">
      <c r="B36" s="44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4" ht="12.75" outlineLevel="2">
      <c r="A37" s="2" t="s">
        <v>48</v>
      </c>
      <c r="B37" s="44">
        <f>IF(Valores!B47=0,0,Valores!B37/Valores!B47)</f>
        <v>0.055865921787709494</v>
      </c>
      <c r="C37" s="44">
        <f>IF(Valores!C47=0,0,Valores!C37/Valores!C47)</f>
        <v>0.04868549172346641</v>
      </c>
      <c r="D37" s="44">
        <f>IF(Valores!D47=0,0,Valores!D37/Valores!D47)</f>
        <v>0.34282700421940926</v>
      </c>
      <c r="E37" s="44">
        <f>IF(Valores!E47=0,0,Valores!E37/Valores!E47)</f>
        <v>0.30238095238095236</v>
      </c>
      <c r="F37" s="44">
        <f>IF(Valores!F47=0,0,Valores!F37/Valores!F47)</f>
        <v>0</v>
      </c>
      <c r="G37" s="44">
        <f>IF(Valores!G47=0,0,Valores!G37/Valores!G47)</f>
        <v>0</v>
      </c>
      <c r="H37" s="44">
        <f>IF(Valores!H47=0,0,Valores!H37/Valores!H47)</f>
        <v>0</v>
      </c>
      <c r="I37" s="44">
        <f>IF(Valores!I47=0,0,Valores!I37/Valores!I47)</f>
        <v>0</v>
      </c>
      <c r="J37" s="44">
        <f>IF(Valores!J47=0,0,Valores!J37/Valores!J47)</f>
        <v>0</v>
      </c>
      <c r="K37" s="44">
        <f>IF(Valores!K47=0,0,Valores!K37/Valores!K47)</f>
        <v>0</v>
      </c>
      <c r="L37" s="44">
        <f>IF(Valores!L47=0,0,Valores!L37/Valores!L47)</f>
        <v>0.03063199941186561</v>
      </c>
      <c r="N37" s="2"/>
    </row>
    <row r="38" spans="1:14" ht="12.75" outlineLevel="2">
      <c r="A38" s="2" t="s">
        <v>32</v>
      </c>
      <c r="B38" s="44">
        <f>IF(Valores!B47=0,0,Valores!B38/Valores!B47)</f>
        <v>0.001340782122905028</v>
      </c>
      <c r="C38" s="44">
        <f>IF(Valores!C47=0,0,Valores!C38/Valores!C47)</f>
        <v>0.001655306718597858</v>
      </c>
      <c r="D38" s="44">
        <f>IF(Valores!D47=0,0,Valores!D38/Valores!D47)</f>
        <v>0.0031645569620253164</v>
      </c>
      <c r="E38" s="44">
        <f>IF(Valores!E47=0,0,Valores!E38/Valores!E47)</f>
        <v>0.0019047619047619048</v>
      </c>
      <c r="F38" s="44">
        <f>IF(Valores!F47=0,0,Valores!F38/Valores!F47)</f>
        <v>0</v>
      </c>
      <c r="G38" s="44">
        <f>IF(Valores!G47=0,0,Valores!G38/Valores!G47)</f>
        <v>0</v>
      </c>
      <c r="H38" s="44">
        <f>IF(Valores!H47=0,0,Valores!H38/Valores!H47)</f>
        <v>0</v>
      </c>
      <c r="I38" s="44">
        <f>IF(Valores!I47=0,0,Valores!I38/Valores!I47)</f>
        <v>0</v>
      </c>
      <c r="J38" s="44">
        <f>IF(Valores!J47=0,0,Valores!J38/Valores!J47)</f>
        <v>0</v>
      </c>
      <c r="K38" s="44">
        <f>IF(Valores!K47=0,0,Valores!K38/Valores!K47)</f>
        <v>0</v>
      </c>
      <c r="L38" s="44">
        <f>IF(Valores!L47=0,0,Valores!L38/Valores!L47)</f>
        <v>0.007768275050849119</v>
      </c>
      <c r="N38" s="2"/>
    </row>
    <row r="39" spans="1:14" ht="12.75" outlineLevel="2">
      <c r="A39" s="39" t="s">
        <v>45</v>
      </c>
      <c r="B39" s="44">
        <f>IF(Valores!B47=0,0,Valores!B39/Valores!B47)</f>
        <v>0</v>
      </c>
      <c r="C39" s="44">
        <f>IF(Valores!C47=0,0,Valores!C39/Valores!C47)</f>
        <v>0</v>
      </c>
      <c r="D39" s="44">
        <f>IF(Valores!D47=0,0,Valores!D39/Valores!D47)</f>
        <v>0</v>
      </c>
      <c r="E39" s="44">
        <f>IF(Valores!E47=0,0,Valores!E39/Valores!E47)</f>
        <v>0</v>
      </c>
      <c r="F39" s="44">
        <f>IF(Valores!F47=0,0,Valores!F39/Valores!F47)</f>
        <v>0</v>
      </c>
      <c r="G39" s="44">
        <f>IF(Valores!G47=0,0,Valores!G39/Valores!G47)</f>
        <v>0</v>
      </c>
      <c r="H39" s="44">
        <f>IF(Valores!H47=0,0,Valores!H39/Valores!H47)</f>
        <v>0</v>
      </c>
      <c r="I39" s="44">
        <f>IF(Valores!I47=0,0,Valores!I39/Valores!I47)</f>
        <v>0</v>
      </c>
      <c r="J39" s="44">
        <f>IF(Valores!J47=0,0,Valores!J39/Valores!J47)</f>
        <v>0</v>
      </c>
      <c r="K39" s="44">
        <f>IF(Valores!K47=0,0,Valores!K39/Valores!K47)</f>
        <v>0</v>
      </c>
      <c r="L39" s="44">
        <f>IF(Valores!L47=0,0,Valores!L39/Valores!L47)</f>
        <v>0</v>
      </c>
      <c r="N39" s="2"/>
    </row>
    <row r="40" spans="1:14" ht="12.75" outlineLevel="2">
      <c r="A40" s="39" t="s">
        <v>51</v>
      </c>
      <c r="B40" s="44">
        <f>IF(Valores!B47=0,0,Valores!B40/Valores!B47)</f>
        <v>0.0335195530726257</v>
      </c>
      <c r="C40" s="44">
        <f>IF(Valores!C47=0,0,Valores!C40/Valores!C47)</f>
        <v>0.03894839337877313</v>
      </c>
      <c r="D40" s="44">
        <f>IF(Valores!D47=0,0,Valores!D40/Valores!D47)</f>
        <v>0.03164556962025317</v>
      </c>
      <c r="E40" s="44">
        <f>IF(Valores!E47=0,0,Valores!E40/Valores!E47)</f>
        <v>0.02857142857142857</v>
      </c>
      <c r="F40" s="44">
        <f>IF(Valores!F47=0,0,Valores!F40/Valores!F47)</f>
        <v>0</v>
      </c>
      <c r="G40" s="44">
        <f>IF(Valores!G47=0,0,Valores!G40/Valores!G47)</f>
        <v>0</v>
      </c>
      <c r="H40" s="44">
        <f>IF(Valores!H47=0,0,Valores!H40/Valores!H47)</f>
        <v>0</v>
      </c>
      <c r="I40" s="44">
        <f>IF(Valores!I47=0,0,Valores!I40/Valores!I47)</f>
        <v>0</v>
      </c>
      <c r="J40" s="44">
        <f>IF(Valores!J47=0,0,Valores!J40/Valores!J47)</f>
        <v>0</v>
      </c>
      <c r="K40" s="44">
        <f>IF(Valores!K47=0,0,Valores!K40/Valores!K47)</f>
        <v>0</v>
      </c>
      <c r="L40" s="44">
        <f>IF(Valores!L47=0,0,Valores!L40/Valores!L47)</f>
        <v>0.036758399294238735</v>
      </c>
      <c r="N40" s="2"/>
    </row>
    <row r="41" spans="1:14" ht="12.75" outlineLevel="2">
      <c r="A41" s="2" t="s">
        <v>47</v>
      </c>
      <c r="B41" s="44">
        <f>IF(Valores!B47=0,0,Valores!B41/Valores!B47)</f>
        <v>0</v>
      </c>
      <c r="C41" s="44">
        <f>IF(Valores!C47=0,0,Valores!C41/Valores!C47)</f>
        <v>0</v>
      </c>
      <c r="D41" s="44">
        <f>IF(Valores!D47=0,0,Valores!D41/Valores!D47)</f>
        <v>0</v>
      </c>
      <c r="E41" s="44">
        <f>IF(Valores!E47=0,0,Valores!E41/Valores!E47)</f>
        <v>0</v>
      </c>
      <c r="F41" s="44">
        <f>IF(Valores!F47=0,0,Valores!F41/Valores!F47)</f>
        <v>0</v>
      </c>
      <c r="G41" s="44">
        <f>IF(Valores!G47=0,0,Valores!G41/Valores!G47)</f>
        <v>0</v>
      </c>
      <c r="H41" s="44">
        <f>IF(Valores!H47=0,0,Valores!H41/Valores!H47)</f>
        <v>0</v>
      </c>
      <c r="I41" s="44">
        <f>IF(Valores!I47=0,0,Valores!I41/Valores!I47)</f>
        <v>0</v>
      </c>
      <c r="J41" s="44">
        <f>IF(Valores!J47=0,0,Valores!J41/Valores!J47)</f>
        <v>0</v>
      </c>
      <c r="K41" s="44">
        <f>IF(Valores!K47=0,0,Valores!K41/Valores!K47)</f>
        <v>0</v>
      </c>
      <c r="L41" s="44">
        <f>IF(Valores!L47=0,0,Valores!L41/Valores!L47)</f>
        <v>0</v>
      </c>
      <c r="N41" s="2"/>
    </row>
    <row r="42" spans="1:14" ht="12.75" outlineLevel="2">
      <c r="A42" s="2" t="s">
        <v>49</v>
      </c>
      <c r="B42" s="44">
        <f>IF(Valores!B47=0,0,Valores!B42/Valores!B47)</f>
        <v>0</v>
      </c>
      <c r="C42" s="44">
        <f>IF(Valores!C47=0,0,Valores!C42/Valores!C47)</f>
        <v>0</v>
      </c>
      <c r="D42" s="44">
        <f>IF(Valores!D47=0,0,Valores!D42/Valores!D47)</f>
        <v>0</v>
      </c>
      <c r="E42" s="44">
        <f>IF(Valores!E47=0,0,Valores!E42/Valores!E47)</f>
        <v>0</v>
      </c>
      <c r="F42" s="44">
        <f>IF(Valores!F47=0,0,Valores!F42/Valores!F47)</f>
        <v>0</v>
      </c>
      <c r="G42" s="44">
        <f>IF(Valores!G47=0,0,Valores!G42/Valores!G47)</f>
        <v>0</v>
      </c>
      <c r="H42" s="44">
        <f>IF(Valores!H47=0,0,Valores!H42/Valores!H47)</f>
        <v>0</v>
      </c>
      <c r="I42" s="44">
        <f>IF(Valores!I47=0,0,Valores!I42/Valores!I47)</f>
        <v>0</v>
      </c>
      <c r="J42" s="44">
        <f>IF(Valores!J47=0,0,Valores!J42/Valores!J47)</f>
        <v>0</v>
      </c>
      <c r="K42" s="44">
        <f>IF(Valores!K47=0,0,Valores!K42/Valores!K47)</f>
        <v>0</v>
      </c>
      <c r="L42" s="44">
        <f>IF(Valores!L47=0,0,Valores!L42/Valores!L47)</f>
        <v>0</v>
      </c>
      <c r="N42" s="2"/>
    </row>
    <row r="43" spans="1:14" ht="12.75" outlineLevel="2">
      <c r="A43" s="2" t="s">
        <v>43</v>
      </c>
      <c r="B43" s="44">
        <f>IF(Valores!B47=0,0,Valores!B43/Valores!B47)</f>
        <v>0.004245810055865922</v>
      </c>
      <c r="C43" s="44">
        <f>IF(Valores!C47=0,0,Valores!C43/Valores!C47)</f>
        <v>0.005160662122687439</v>
      </c>
      <c r="D43" s="44">
        <f>IF(Valores!D47=0,0,Valores!D43/Valores!D47)</f>
        <v>0.026371308016877638</v>
      </c>
      <c r="E43" s="44">
        <f>IF(Valores!E47=0,0,Valores!E43/Valores!E47)</f>
        <v>0.024285714285714285</v>
      </c>
      <c r="F43" s="44">
        <f>IF(Valores!F47=0,0,Valores!F43/Valores!F47)</f>
        <v>0</v>
      </c>
      <c r="G43" s="44">
        <f>IF(Valores!G47=0,0,Valores!G43/Valores!G47)</f>
        <v>0</v>
      </c>
      <c r="H43" s="44">
        <f>IF(Valores!H47=0,0,Valores!H43/Valores!H47)</f>
        <v>0</v>
      </c>
      <c r="I43" s="44">
        <f>IF(Valores!I47=0,0,Valores!I43/Valores!I47)</f>
        <v>0</v>
      </c>
      <c r="J43" s="44">
        <f>IF(Valores!J47=0,0,Valores!J43/Valores!J47)</f>
        <v>0</v>
      </c>
      <c r="K43" s="44">
        <f>IF(Valores!K47=0,0,Valores!K43/Valores!K47)</f>
        <v>0</v>
      </c>
      <c r="L43" s="44">
        <f>IF(Valores!L47=0,0,Valores!L43/Valores!L47)</f>
        <v>0.00817874384296812</v>
      </c>
      <c r="N43" s="2"/>
    </row>
    <row r="44" spans="1:14" ht="12.75" outlineLevel="2">
      <c r="A44" s="61" t="s">
        <v>109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2"/>
    </row>
    <row r="45" spans="1:25" ht="12.75" outlineLevel="2">
      <c r="A45" s="37" t="s">
        <v>50</v>
      </c>
      <c r="B45" s="43">
        <f>IF(Valores!B47=0,0,Valores!B45/Valores!B47)</f>
        <v>0.09497206703910614</v>
      </c>
      <c r="C45" s="43">
        <f>IF(Valores!C47=0,0,Valores!C45/Valores!C47)</f>
        <v>0.09444985394352483</v>
      </c>
      <c r="D45" s="43">
        <f>IF(Valores!D47=0,0,Valores!D45/Valores!D47)</f>
        <v>0.4040084388185654</v>
      </c>
      <c r="E45" s="43">
        <f>IF(Valores!E47=0,0,Valores!E45/Valores!E47)</f>
        <v>0.35714285714285715</v>
      </c>
      <c r="F45" s="43">
        <f>IF(Valores!F47=0,0,Valores!F45/Valores!F47)</f>
        <v>0</v>
      </c>
      <c r="G45" s="43">
        <f>IF(Valores!G47=0,0,Valores!G45/Valores!G47)</f>
        <v>0</v>
      </c>
      <c r="H45" s="43">
        <f>IF(Valores!H47=0,0,Valores!H45/Valores!H47)</f>
        <v>0</v>
      </c>
      <c r="I45" s="43">
        <f>IF(Valores!I47=0,0,Valores!I45/Valores!I47)</f>
        <v>0</v>
      </c>
      <c r="J45" s="43">
        <f>IF(Valores!J47=0,0,Valores!J45/Valores!J47)</f>
        <v>0</v>
      </c>
      <c r="K45" s="43">
        <f>IF(Valores!K47=0,0,Valores!K45/Valores!K47)</f>
        <v>0</v>
      </c>
      <c r="L45" s="43">
        <f>IF(Valores!L47=0,0,Valores!L45/Valores!L47)</f>
        <v>0.08333741759992158</v>
      </c>
      <c r="N45" s="37" t="s">
        <v>50</v>
      </c>
      <c r="O45" s="43">
        <f>IF(O46=0,0,(Valores!B45-Valores!B42)/O46)</f>
        <v>0.1223021582733813</v>
      </c>
      <c r="P45" s="43">
        <f>IF(P46=0,0,(Valores!C45-Valores!C42)/P46)</f>
        <v>0.12646675358539766</v>
      </c>
      <c r="Q45" s="43">
        <f>IF(Q46=0,0,(Valores!D45-Valores!D42)/Q46)</f>
        <v>0.5019659239842726</v>
      </c>
      <c r="R45" s="43">
        <f>IF(R46=0,0,(Valores!E45-Valores!E42)/R46)</f>
        <v>0.46875</v>
      </c>
      <c r="S45" s="43">
        <f>IF(S46=0,0,(Valores!F45-Valores!F42)/S46)</f>
        <v>0</v>
      </c>
      <c r="T45" s="43">
        <f>IF(T46=0,0,(Valores!G45-Valores!G42)/T46)</f>
        <v>0</v>
      </c>
      <c r="U45" s="43">
        <f>IF(U46=0,0,(Valores!H45-Valores!H42)/U46)</f>
        <v>0</v>
      </c>
      <c r="V45" s="43">
        <f>IF(V46=0,0,(Valores!I45-Valores!I42)/V46)</f>
        <v>0</v>
      </c>
      <c r="W45" s="43">
        <f>IF(W46=0,0,(Valores!J45-Valores!J42)/W46)</f>
        <v>0</v>
      </c>
      <c r="X45" s="43">
        <f>IF(X46=0,0,(Valores!K45-Valores!K42)/X46)</f>
        <v>0</v>
      </c>
      <c r="Y45" s="43">
        <f>IF(Y46=0,0,(Valores!L45-Valores!L42)/Y46)</f>
        <v>0.14532653867931583</v>
      </c>
    </row>
    <row r="46" spans="1:25" ht="12.75" outlineLevel="1">
      <c r="A46" s="3" t="s">
        <v>83</v>
      </c>
      <c r="B46" s="35">
        <f>Valores!B46</f>
        <v>13900</v>
      </c>
      <c r="C46" s="35">
        <f>Valores!C46</f>
        <v>15340</v>
      </c>
      <c r="D46" s="35">
        <f>Valores!D46</f>
        <v>30520</v>
      </c>
      <c r="E46" s="35">
        <f>Valores!E46</f>
        <v>32000</v>
      </c>
      <c r="F46" s="35">
        <f>Valores!F46</f>
        <v>0</v>
      </c>
      <c r="G46" s="35">
        <f>Valores!G46</f>
        <v>0</v>
      </c>
      <c r="H46" s="35">
        <f>Valores!H46</f>
        <v>0</v>
      </c>
      <c r="I46" s="35">
        <f>Valores!I46</f>
        <v>0</v>
      </c>
      <c r="J46" s="35">
        <f>Valores!J46</f>
        <v>0</v>
      </c>
      <c r="K46" s="35">
        <f>Valores!K46</f>
        <v>0</v>
      </c>
      <c r="L46" s="35">
        <f>Valores!L46</f>
        <v>18720.6</v>
      </c>
      <c r="N46" s="3" t="s">
        <v>83</v>
      </c>
      <c r="O46" s="35">
        <f>B46-Valores!B42</f>
        <v>13900</v>
      </c>
      <c r="P46" s="35">
        <f>C46-Valores!C42</f>
        <v>15340</v>
      </c>
      <c r="Q46" s="35">
        <f>D46-Valores!D42</f>
        <v>30520</v>
      </c>
      <c r="R46" s="35">
        <f>E46-Valores!E42</f>
        <v>32000</v>
      </c>
      <c r="S46" s="35">
        <f>F46-Valores!F42</f>
        <v>0</v>
      </c>
      <c r="T46" s="35">
        <f>G46-Valores!G42</f>
        <v>0</v>
      </c>
      <c r="U46" s="35">
        <f>H46-Valores!H42</f>
        <v>0</v>
      </c>
      <c r="V46" s="35">
        <f>I46-Valores!I42</f>
        <v>0</v>
      </c>
      <c r="W46" s="35">
        <f>J46-Valores!J42</f>
        <v>0</v>
      </c>
      <c r="X46" s="35">
        <f>K46-Valores!K42</f>
        <v>0</v>
      </c>
      <c r="Y46" s="35">
        <f>L46-Valores!L42</f>
        <v>18720.6</v>
      </c>
    </row>
    <row r="47" spans="1:12" ht="12.75" outlineLevel="1">
      <c r="A47" s="3" t="s">
        <v>102</v>
      </c>
      <c r="B47" s="35">
        <f>Valores!B47</f>
        <v>17900</v>
      </c>
      <c r="C47" s="35">
        <f>Valores!C47</f>
        <v>20540</v>
      </c>
      <c r="D47" s="35">
        <f>Valores!D47</f>
        <v>37920</v>
      </c>
      <c r="E47" s="35">
        <f>Valores!E47</f>
        <v>42000</v>
      </c>
      <c r="F47" s="35">
        <f>Valores!F47</f>
        <v>0</v>
      </c>
      <c r="G47" s="35">
        <f>Valores!G47</f>
        <v>0</v>
      </c>
      <c r="H47" s="35">
        <f>Valores!H47</f>
        <v>0</v>
      </c>
      <c r="I47" s="35">
        <f>Valores!I47</f>
        <v>0</v>
      </c>
      <c r="J47" s="35">
        <f>Valores!J47</f>
        <v>0</v>
      </c>
      <c r="K47" s="35">
        <f>Valores!K47</f>
        <v>0</v>
      </c>
      <c r="L47" s="35">
        <f>Valores!L47</f>
        <v>32645.6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zoomScale="80" zoomScaleNormal="80" workbookViewId="0" topLeftCell="A1">
      <selection activeCell="B4" sqref="B4"/>
    </sheetView>
  </sheetViews>
  <sheetFormatPr defaultColWidth="9.140625" defaultRowHeight="12.75" outlineLevelCol="1"/>
  <cols>
    <col min="1" max="1" width="8.28125" style="0" customWidth="1" outlineLevel="1"/>
    <col min="2" max="3" width="5.57421875" style="6" customWidth="1" outlineLevel="1"/>
    <col min="4" max="4" width="5.7109375" style="0" customWidth="1" outlineLevel="1"/>
    <col min="5" max="5" width="8.7109375" style="0" customWidth="1" outlineLevel="1"/>
    <col min="6" max="6" width="3.7109375" style="0" customWidth="1"/>
    <col min="7" max="7" width="8.28125" style="0" customWidth="1" outlineLevel="1"/>
    <col min="8" max="9" width="5.57421875" style="6" customWidth="1" outlineLevel="1"/>
    <col min="10" max="10" width="5.7109375" style="0" customWidth="1" outlineLevel="1"/>
    <col min="11" max="11" width="8.7109375" style="0" customWidth="1" outlineLevel="1"/>
    <col min="12" max="12" width="3.7109375" style="0" customWidth="1"/>
    <col min="13" max="13" width="8.28125" style="0" customWidth="1" outlineLevel="1"/>
    <col min="14" max="15" width="5.57421875" style="6" customWidth="1" outlineLevel="1"/>
    <col min="16" max="16" width="5.7109375" style="0" customWidth="1" outlineLevel="1"/>
    <col min="17" max="17" width="8.7109375" style="0" customWidth="1" outlineLevel="1"/>
    <col min="18" max="18" width="3.7109375" style="0" customWidth="1"/>
    <col min="19" max="19" width="8.28125" style="0" customWidth="1" outlineLevel="1"/>
    <col min="20" max="21" width="5.57421875" style="6" customWidth="1" outlineLevel="1"/>
    <col min="22" max="22" width="5.7109375" style="0" customWidth="1" outlineLevel="1"/>
    <col min="23" max="23" width="8.7109375" style="0" customWidth="1" outlineLevel="1"/>
    <col min="24" max="24" width="3.7109375" style="0" customWidth="1"/>
    <col min="25" max="25" width="8.28125" style="0" hidden="1" customWidth="1" outlineLevel="1"/>
    <col min="26" max="27" width="5.57421875" style="6" hidden="1" customWidth="1" outlineLevel="1"/>
    <col min="28" max="28" width="5.7109375" style="0" hidden="1" customWidth="1" outlineLevel="1"/>
    <col min="29" max="29" width="8.7109375" style="0" hidden="1" customWidth="1" outlineLevel="1"/>
    <col min="30" max="30" width="3.7109375" style="0" customWidth="1" collapsed="1"/>
    <col min="31" max="31" width="8.28125" style="0" hidden="1" customWidth="1" outlineLevel="1"/>
    <col min="32" max="33" width="5.57421875" style="6" hidden="1" customWidth="1" outlineLevel="1"/>
    <col min="34" max="34" width="5.7109375" style="0" hidden="1" customWidth="1" outlineLevel="1"/>
    <col min="35" max="35" width="8.7109375" style="0" hidden="1" customWidth="1" outlineLevel="1"/>
    <col min="36" max="36" width="3.7109375" style="0" customWidth="1" collapsed="1"/>
    <col min="37" max="37" width="8.28125" style="0" hidden="1" customWidth="1" outlineLevel="1"/>
    <col min="38" max="39" width="5.57421875" style="6" hidden="1" customWidth="1" outlineLevel="1"/>
    <col min="40" max="40" width="5.7109375" style="0" hidden="1" customWidth="1" outlineLevel="1"/>
    <col min="41" max="41" width="8.7109375" style="0" hidden="1" customWidth="1" outlineLevel="1"/>
    <col min="42" max="42" width="3.7109375" style="0" customWidth="1" collapsed="1"/>
    <col min="43" max="43" width="8.28125" style="0" hidden="1" customWidth="1" outlineLevel="1"/>
    <col min="44" max="45" width="5.57421875" style="6" hidden="1" customWidth="1" outlineLevel="1"/>
    <col min="46" max="46" width="5.7109375" style="0" hidden="1" customWidth="1" outlineLevel="1"/>
    <col min="47" max="47" width="8.7109375" style="0" hidden="1" customWidth="1" outlineLevel="1"/>
    <col min="48" max="48" width="3.7109375" style="0" customWidth="1" collapsed="1"/>
    <col min="49" max="49" width="8.28125" style="0" hidden="1" customWidth="1" outlineLevel="1"/>
    <col min="50" max="51" width="5.57421875" style="6" hidden="1" customWidth="1" outlineLevel="1"/>
    <col min="52" max="52" width="5.7109375" style="0" hidden="1" customWidth="1" outlineLevel="1"/>
    <col min="53" max="53" width="8.7109375" style="0" hidden="1" customWidth="1" outlineLevel="1"/>
    <col min="54" max="54" width="3.7109375" style="0" customWidth="1" collapsed="1"/>
    <col min="55" max="55" width="8.28125" style="0" hidden="1" customWidth="1" outlineLevel="1"/>
    <col min="56" max="57" width="5.57421875" style="6" hidden="1" customWidth="1" outlineLevel="1"/>
    <col min="58" max="58" width="5.7109375" style="0" hidden="1" customWidth="1" outlineLevel="1"/>
    <col min="59" max="59" width="8.7109375" style="0" hidden="1" customWidth="1" outlineLevel="1"/>
    <col min="60" max="60" width="3.7109375" style="0" customWidth="1" collapsed="1"/>
    <col min="61" max="61" width="8.28125" style="0" hidden="1" customWidth="1" outlineLevel="1"/>
    <col min="62" max="63" width="5.57421875" style="6" hidden="1" customWidth="1" outlineLevel="1"/>
    <col min="64" max="64" width="5.7109375" style="0" hidden="1" customWidth="1" outlineLevel="1"/>
    <col min="65" max="65" width="8.7109375" style="0" hidden="1" customWidth="1" outlineLevel="1"/>
    <col min="66" max="66" width="9.140625" style="0" customWidth="1" collapsed="1"/>
  </cols>
  <sheetData>
    <row r="1" spans="1:65" ht="12.75">
      <c r="A1" s="3" t="s">
        <v>0</v>
      </c>
      <c r="B1" s="7"/>
      <c r="C1" s="7"/>
      <c r="D1" s="3"/>
      <c r="E1" s="3" t="s">
        <v>1</v>
      </c>
      <c r="G1" s="3" t="s">
        <v>0</v>
      </c>
      <c r="H1" s="7"/>
      <c r="I1" s="7"/>
      <c r="J1" s="3"/>
      <c r="K1" s="3" t="s">
        <v>1</v>
      </c>
      <c r="M1" s="3" t="s">
        <v>0</v>
      </c>
      <c r="N1" s="7"/>
      <c r="O1" s="7"/>
      <c r="P1" s="3"/>
      <c r="Q1" s="3" t="s">
        <v>1</v>
      </c>
      <c r="S1" s="3" t="s">
        <v>0</v>
      </c>
      <c r="T1" s="7"/>
      <c r="U1" s="7"/>
      <c r="V1" s="3"/>
      <c r="W1" s="3" t="s">
        <v>1</v>
      </c>
      <c r="Y1" s="3" t="s">
        <v>0</v>
      </c>
      <c r="Z1" s="7"/>
      <c r="AA1" s="7"/>
      <c r="AB1" s="3"/>
      <c r="AC1" s="3" t="s">
        <v>1</v>
      </c>
      <c r="AE1" s="3" t="s">
        <v>0</v>
      </c>
      <c r="AF1" s="7"/>
      <c r="AG1" s="7"/>
      <c r="AH1" s="3"/>
      <c r="AI1" s="3" t="s">
        <v>1</v>
      </c>
      <c r="AK1" s="3" t="s">
        <v>0</v>
      </c>
      <c r="AL1" s="7"/>
      <c r="AM1" s="7"/>
      <c r="AN1" s="3"/>
      <c r="AO1" s="3" t="s">
        <v>1</v>
      </c>
      <c r="AQ1" s="3" t="s">
        <v>0</v>
      </c>
      <c r="AR1" s="7"/>
      <c r="AS1" s="7"/>
      <c r="AT1" s="3"/>
      <c r="AU1" s="3" t="s">
        <v>1</v>
      </c>
      <c r="AW1" s="3" t="s">
        <v>0</v>
      </c>
      <c r="AX1" s="7"/>
      <c r="AY1" s="7"/>
      <c r="AZ1" s="3"/>
      <c r="BA1" s="3" t="s">
        <v>1</v>
      </c>
      <c r="BC1" s="3" t="s">
        <v>0</v>
      </c>
      <c r="BD1" s="7"/>
      <c r="BE1" s="7"/>
      <c r="BF1" s="3"/>
      <c r="BG1" s="3" t="s">
        <v>1</v>
      </c>
      <c r="BI1" s="3" t="s">
        <v>0</v>
      </c>
      <c r="BJ1" s="7"/>
      <c r="BK1" s="7"/>
      <c r="BL1" s="3"/>
      <c r="BM1" s="3" t="s">
        <v>1</v>
      </c>
    </row>
    <row r="2" spans="1:65" ht="12.75">
      <c r="A2" s="8" t="s">
        <v>7</v>
      </c>
      <c r="B2" s="14">
        <f>Porcentajes!O10</f>
        <v>0.943884892086331</v>
      </c>
      <c r="C2" s="14">
        <f>B2</f>
        <v>0.943884892086331</v>
      </c>
      <c r="D2" s="20">
        <f>Porcentajes!O30</f>
        <v>0.4460431654676259</v>
      </c>
      <c r="E2" s="8" t="s">
        <v>9</v>
      </c>
      <c r="G2" s="8" t="s">
        <v>7</v>
      </c>
      <c r="H2" s="14">
        <f>Porcentajes!P10</f>
        <v>0.954367666232073</v>
      </c>
      <c r="I2" s="14">
        <f>H2</f>
        <v>0.954367666232073</v>
      </c>
      <c r="J2" s="20">
        <f>Porcentajes!P30</f>
        <v>0.5475880052151239</v>
      </c>
      <c r="K2" s="8" t="s">
        <v>9</v>
      </c>
      <c r="M2" s="8" t="s">
        <v>7</v>
      </c>
      <c r="N2" s="14">
        <f>Porcentajes!Q10</f>
        <v>0.9495412844036697</v>
      </c>
      <c r="O2" s="14">
        <f>N2</f>
        <v>0.9495412844036697</v>
      </c>
      <c r="P2" s="20">
        <f>Porcentajes!Q30</f>
        <v>0.3669724770642202</v>
      </c>
      <c r="Q2" s="8" t="s">
        <v>9</v>
      </c>
      <c r="S2" s="8" t="s">
        <v>7</v>
      </c>
      <c r="T2" s="14">
        <f>Porcentajes!R10</f>
        <v>0.9375</v>
      </c>
      <c r="U2" s="14">
        <f>T2</f>
        <v>0.9375</v>
      </c>
      <c r="V2" s="20">
        <f>Porcentajes!R30</f>
        <v>0.4375</v>
      </c>
      <c r="W2" s="8" t="s">
        <v>9</v>
      </c>
      <c r="Y2" s="8" t="s">
        <v>7</v>
      </c>
      <c r="Z2" s="14">
        <f>Porcentajes!S10</f>
        <v>0</v>
      </c>
      <c r="AA2" s="14">
        <f>Z2</f>
        <v>0</v>
      </c>
      <c r="AB2" s="20">
        <f>Porcentajes!S30</f>
        <v>0</v>
      </c>
      <c r="AC2" s="8" t="s">
        <v>9</v>
      </c>
      <c r="AE2" s="8" t="s">
        <v>7</v>
      </c>
      <c r="AF2" s="14">
        <f>Porcentajes!T10</f>
        <v>0</v>
      </c>
      <c r="AG2" s="14">
        <f>AF2</f>
        <v>0</v>
      </c>
      <c r="AH2" s="20">
        <f>Porcentajes!T30</f>
        <v>0</v>
      </c>
      <c r="AI2" s="8" t="s">
        <v>9</v>
      </c>
      <c r="AK2" s="8" t="s">
        <v>7</v>
      </c>
      <c r="AL2" s="14">
        <f>Porcentajes!U10</f>
        <v>0</v>
      </c>
      <c r="AM2" s="14">
        <f>AL2</f>
        <v>0</v>
      </c>
      <c r="AN2" s="20">
        <f>Porcentajes!U30</f>
        <v>0</v>
      </c>
      <c r="AO2" s="8" t="s">
        <v>9</v>
      </c>
      <c r="AQ2" s="8" t="s">
        <v>7</v>
      </c>
      <c r="AR2" s="14">
        <f>Porcentajes!V10</f>
        <v>0</v>
      </c>
      <c r="AS2" s="14">
        <f>AR2</f>
        <v>0</v>
      </c>
      <c r="AT2" s="20">
        <f>Porcentajes!V30</f>
        <v>0</v>
      </c>
      <c r="AU2" s="8" t="s">
        <v>9</v>
      </c>
      <c r="AW2" s="8" t="s">
        <v>7</v>
      </c>
      <c r="AX2" s="14">
        <f>Porcentajes!W10</f>
        <v>0</v>
      </c>
      <c r="AY2" s="14">
        <f>AX2</f>
        <v>0</v>
      </c>
      <c r="AZ2" s="20">
        <f>Porcentajes!W30</f>
        <v>0</v>
      </c>
      <c r="BA2" s="8" t="s">
        <v>9</v>
      </c>
      <c r="BC2" s="8" t="s">
        <v>7</v>
      </c>
      <c r="BD2" s="14">
        <f>Porcentajes!X10</f>
        <v>0</v>
      </c>
      <c r="BE2" s="14">
        <f>BD2</f>
        <v>0</v>
      </c>
      <c r="BF2" s="20">
        <f>Porcentajes!X30</f>
        <v>0</v>
      </c>
      <c r="BG2" s="8" t="s">
        <v>9</v>
      </c>
      <c r="BI2" s="8" t="s">
        <v>7</v>
      </c>
      <c r="BJ2" s="14">
        <f>Porcentajes!Y10</f>
        <v>0.9402910809802214</v>
      </c>
      <c r="BK2" s="14">
        <f>BJ2</f>
        <v>0.9402910809802214</v>
      </c>
      <c r="BL2" s="20">
        <f>Porcentajes!Y30</f>
        <v>0.7478392786555987</v>
      </c>
      <c r="BM2" s="8" t="s">
        <v>9</v>
      </c>
    </row>
    <row r="3" spans="1:65" ht="12.75">
      <c r="A3" s="8" t="s">
        <v>8</v>
      </c>
      <c r="B3" s="15">
        <f>Porcentajes!O22</f>
        <v>0.05611510791366906</v>
      </c>
      <c r="C3" s="16">
        <f>Porcentajes!O15</f>
        <v>0.014388489208633094</v>
      </c>
      <c r="D3" s="19">
        <f>Porcentajes!O35</f>
        <v>0.4316546762589928</v>
      </c>
      <c r="E3" s="8" t="s">
        <v>10</v>
      </c>
      <c r="G3" s="8" t="s">
        <v>8</v>
      </c>
      <c r="H3" s="15">
        <f>Porcentajes!P22</f>
        <v>0.04563233376792699</v>
      </c>
      <c r="I3" s="16">
        <f>Porcentajes!P15</f>
        <v>0.01955671447196871</v>
      </c>
      <c r="J3" s="19">
        <f>Porcentajes!P35</f>
        <v>0.3259452411994785</v>
      </c>
      <c r="K3" s="8" t="s">
        <v>10</v>
      </c>
      <c r="M3" s="8" t="s">
        <v>8</v>
      </c>
      <c r="N3" s="15">
        <f>Porcentajes!Q22</f>
        <v>0.05045871559633028</v>
      </c>
      <c r="O3" s="16">
        <f>Porcentajes!Q15</f>
        <v>0.01834862385321101</v>
      </c>
      <c r="P3" s="19">
        <f>Porcentajes!Q35</f>
        <v>0.1310615989515072</v>
      </c>
      <c r="Q3" s="8" t="s">
        <v>10</v>
      </c>
      <c r="S3" s="8" t="s">
        <v>8</v>
      </c>
      <c r="T3" s="15">
        <f>Porcentajes!R22</f>
        <v>0.0625</v>
      </c>
      <c r="U3" s="16">
        <f>Porcentajes!R15</f>
        <v>0.01875</v>
      </c>
      <c r="V3" s="19">
        <f>Porcentajes!R35</f>
        <v>0.09375</v>
      </c>
      <c r="W3" s="8" t="s">
        <v>10</v>
      </c>
      <c r="Y3" s="8" t="s">
        <v>8</v>
      </c>
      <c r="Z3" s="15">
        <f>Porcentajes!S22</f>
        <v>0</v>
      </c>
      <c r="AA3" s="16">
        <f>Porcentajes!S15</f>
        <v>0</v>
      </c>
      <c r="AB3" s="19">
        <f>Porcentajes!S35</f>
        <v>0</v>
      </c>
      <c r="AC3" s="8" t="s">
        <v>10</v>
      </c>
      <c r="AE3" s="8" t="s">
        <v>8</v>
      </c>
      <c r="AF3" s="15">
        <f>Porcentajes!T22</f>
        <v>0</v>
      </c>
      <c r="AG3" s="16">
        <f>Porcentajes!T15</f>
        <v>0</v>
      </c>
      <c r="AH3" s="19">
        <f>Porcentajes!T35</f>
        <v>0</v>
      </c>
      <c r="AI3" s="8" t="s">
        <v>10</v>
      </c>
      <c r="AK3" s="8" t="s">
        <v>8</v>
      </c>
      <c r="AL3" s="15">
        <f>Porcentajes!U22</f>
        <v>0</v>
      </c>
      <c r="AM3" s="16">
        <f>Porcentajes!U15</f>
        <v>0</v>
      </c>
      <c r="AN3" s="19">
        <f>Porcentajes!U35</f>
        <v>0</v>
      </c>
      <c r="AO3" s="8" t="s">
        <v>10</v>
      </c>
      <c r="AQ3" s="8" t="s">
        <v>8</v>
      </c>
      <c r="AR3" s="15">
        <f>Porcentajes!V22</f>
        <v>0</v>
      </c>
      <c r="AS3" s="16">
        <f>Porcentajes!V15</f>
        <v>0</v>
      </c>
      <c r="AT3" s="19">
        <f>Porcentajes!V35</f>
        <v>0</v>
      </c>
      <c r="AU3" s="8" t="s">
        <v>10</v>
      </c>
      <c r="AW3" s="8" t="s">
        <v>8</v>
      </c>
      <c r="AX3" s="15">
        <f>Porcentajes!W22</f>
        <v>0</v>
      </c>
      <c r="AY3" s="16">
        <f>Porcentajes!W15</f>
        <v>0</v>
      </c>
      <c r="AZ3" s="19">
        <f>Porcentajes!W35</f>
        <v>0</v>
      </c>
      <c r="BA3" s="8" t="s">
        <v>10</v>
      </c>
      <c r="BC3" s="8" t="s">
        <v>8</v>
      </c>
      <c r="BD3" s="15">
        <f>Porcentajes!X22</f>
        <v>0</v>
      </c>
      <c r="BE3" s="16">
        <f>Porcentajes!X15</f>
        <v>0</v>
      </c>
      <c r="BF3" s="19">
        <f>Porcentajes!X35</f>
        <v>0</v>
      </c>
      <c r="BG3" s="8" t="s">
        <v>10</v>
      </c>
      <c r="BI3" s="8" t="s">
        <v>8</v>
      </c>
      <c r="BJ3" s="15">
        <f>Porcentajes!Y22</f>
        <v>0.05970891901977858</v>
      </c>
      <c r="BK3" s="16">
        <f>Porcentajes!Y15</f>
        <v>0.014927229754944645</v>
      </c>
      <c r="BL3" s="19">
        <f>Porcentajes!Y35</f>
        <v>0.10683418266508553</v>
      </c>
      <c r="BM3" s="8" t="s">
        <v>10</v>
      </c>
    </row>
    <row r="4" spans="3:65" ht="12.75">
      <c r="C4" s="17">
        <f>Porcentajes!O16</f>
        <v>0.012949640287769784</v>
      </c>
      <c r="D4" s="21">
        <f>Porcentajes!O45</f>
        <v>0.1223021582733813</v>
      </c>
      <c r="E4" s="8" t="s">
        <v>11</v>
      </c>
      <c r="I4" s="17">
        <f>Porcentajes!P16</f>
        <v>0.01303780964797914</v>
      </c>
      <c r="J4" s="21">
        <f>Porcentajes!P45</f>
        <v>0.12646675358539766</v>
      </c>
      <c r="K4" s="8" t="s">
        <v>11</v>
      </c>
      <c r="O4" s="17">
        <f>Porcentajes!Q16</f>
        <v>0.02621231979030144</v>
      </c>
      <c r="P4" s="21">
        <f>Porcentajes!Q45</f>
        <v>0.5019659239842726</v>
      </c>
      <c r="Q4" s="8" t="s">
        <v>11</v>
      </c>
      <c r="U4" s="17">
        <f>Porcentajes!R16</f>
        <v>0.0375</v>
      </c>
      <c r="V4" s="21">
        <f>Porcentajes!R45</f>
        <v>0.46875</v>
      </c>
      <c r="W4" s="8" t="s">
        <v>11</v>
      </c>
      <c r="AA4" s="17">
        <f>Porcentajes!S16</f>
        <v>0</v>
      </c>
      <c r="AB4" s="21">
        <f>Porcentajes!S45</f>
        <v>0</v>
      </c>
      <c r="AC4" s="8" t="s">
        <v>11</v>
      </c>
      <c r="AG4" s="17">
        <f>Porcentajes!T16</f>
        <v>0</v>
      </c>
      <c r="AH4" s="21">
        <f>Porcentajes!T45</f>
        <v>0</v>
      </c>
      <c r="AI4" s="8" t="s">
        <v>11</v>
      </c>
      <c r="AM4" s="17">
        <f>Porcentajes!U16</f>
        <v>0</v>
      </c>
      <c r="AN4" s="21">
        <f>Porcentajes!U45</f>
        <v>0</v>
      </c>
      <c r="AO4" s="8" t="s">
        <v>11</v>
      </c>
      <c r="AS4" s="17">
        <f>Porcentajes!V16</f>
        <v>0</v>
      </c>
      <c r="AT4" s="21">
        <f>Porcentajes!V45</f>
        <v>0</v>
      </c>
      <c r="AU4" s="8" t="s">
        <v>11</v>
      </c>
      <c r="AY4" s="17">
        <f>Porcentajes!W16</f>
        <v>0</v>
      </c>
      <c r="AZ4" s="21">
        <f>Porcentajes!W45</f>
        <v>0</v>
      </c>
      <c r="BA4" s="8" t="s">
        <v>11</v>
      </c>
      <c r="BE4" s="17">
        <f>Porcentajes!X16</f>
        <v>0</v>
      </c>
      <c r="BF4" s="21">
        <f>Porcentajes!X45</f>
        <v>0</v>
      </c>
      <c r="BG4" s="8" t="s">
        <v>11</v>
      </c>
      <c r="BK4" s="17">
        <f>Porcentajes!Y16</f>
        <v>0.02985445950988929</v>
      </c>
      <c r="BL4" s="21">
        <f>Porcentajes!Y45</f>
        <v>0.14532653867931583</v>
      </c>
      <c r="BM4" s="8" t="s">
        <v>11</v>
      </c>
    </row>
    <row r="5" spans="3:65" ht="12.75">
      <c r="C5" s="18">
        <f>SUM(Porcentajes!O17:O21)</f>
        <v>0.02877697841726619</v>
      </c>
      <c r="D5" s="9"/>
      <c r="E5" s="8"/>
      <c r="I5" s="18">
        <f>SUM(Porcentajes!P17:U21)</f>
        <v>0.025185581600796966</v>
      </c>
      <c r="J5" s="9"/>
      <c r="K5" s="8"/>
      <c r="O5" s="18">
        <f>SUM(Porcentajes!Q17:AA21)</f>
        <v>0.027075001707762468</v>
      </c>
      <c r="P5" s="9"/>
      <c r="Q5" s="8"/>
      <c r="U5" s="18">
        <f>SUM(Porcentajes!R17:AG21)</f>
        <v>0.021177229754944647</v>
      </c>
      <c r="V5" s="9"/>
      <c r="W5" s="8"/>
      <c r="AA5" s="18">
        <f>SUM(Porcentajes!S17:AM21)</f>
        <v>0.014927229754944645</v>
      </c>
      <c r="AB5" s="9"/>
      <c r="AC5" s="8"/>
      <c r="AG5" s="18">
        <f>SUM(Porcentajes!T17:AS21)</f>
        <v>0.014927229754944645</v>
      </c>
      <c r="AH5" s="9"/>
      <c r="AI5" s="8"/>
      <c r="AM5" s="18">
        <f>SUM(Porcentajes!U17:AY21)</f>
        <v>0.014927229754944645</v>
      </c>
      <c r="AN5" s="9"/>
      <c r="AO5" s="8"/>
      <c r="AS5" s="18">
        <f>SUM(Porcentajes!V17:BE21)</f>
        <v>0.014927229754944645</v>
      </c>
      <c r="AT5" s="9"/>
      <c r="AU5" s="8"/>
      <c r="AY5" s="18">
        <f>SUM(Porcentajes!W17:BK21)</f>
        <v>0.014927229754944645</v>
      </c>
      <c r="AZ5" s="9"/>
      <c r="BA5" s="8"/>
      <c r="BE5" s="18">
        <f>SUM(Porcentajes!X17:BQ21)</f>
        <v>0.014927229754944645</v>
      </c>
      <c r="BF5" s="9"/>
      <c r="BG5" s="8"/>
      <c r="BK5" s="18">
        <f>SUM(Porcentajes!Y17:BW21)</f>
        <v>0.014927229754944645</v>
      </c>
      <c r="BL5" s="9"/>
      <c r="BM5" s="8"/>
    </row>
    <row r="6" ht="12.75"/>
    <row r="7" ht="12.75"/>
    <row r="34" spans="2:63" ht="12.75">
      <c r="B34"/>
      <c r="C34"/>
      <c r="H34"/>
      <c r="I34"/>
      <c r="N34"/>
      <c r="O34"/>
      <c r="T34"/>
      <c r="U34"/>
      <c r="Z34"/>
      <c r="AA34"/>
      <c r="AF34"/>
      <c r="AG34"/>
      <c r="AL34"/>
      <c r="AM34"/>
      <c r="AR34"/>
      <c r="AS34"/>
      <c r="AX34"/>
      <c r="AY34"/>
      <c r="BD34"/>
      <c r="BE34"/>
      <c r="BJ34"/>
      <c r="BK34"/>
    </row>
    <row r="35" spans="2:63" ht="12.75">
      <c r="B35"/>
      <c r="C35"/>
      <c r="H35"/>
      <c r="I35"/>
      <c r="N35"/>
      <c r="O35"/>
      <c r="T35"/>
      <c r="U35"/>
      <c r="Z35"/>
      <c r="AA35"/>
      <c r="AF35"/>
      <c r="AG35"/>
      <c r="AL35"/>
      <c r="AM35"/>
      <c r="AR35"/>
      <c r="AS35"/>
      <c r="AX35"/>
      <c r="AY35"/>
      <c r="BD35"/>
      <c r="BE35"/>
      <c r="BJ35"/>
      <c r="BK35"/>
    </row>
    <row r="36" spans="2:63" ht="12.75">
      <c r="B36"/>
      <c r="C36"/>
      <c r="H36"/>
      <c r="I36"/>
      <c r="N36"/>
      <c r="O36"/>
      <c r="T36"/>
      <c r="U36"/>
      <c r="Z36"/>
      <c r="AA36"/>
      <c r="AF36"/>
      <c r="AG36"/>
      <c r="AL36"/>
      <c r="AM36"/>
      <c r="AR36"/>
      <c r="AS36"/>
      <c r="AX36"/>
      <c r="AY36"/>
      <c r="BD36"/>
      <c r="BE36"/>
      <c r="BJ36"/>
      <c r="BK36"/>
    </row>
  </sheetData>
  <printOptions/>
  <pageMargins left="0.75" right="0.75" top="1" bottom="1" header="0.5" footer="0.5"/>
  <pageSetup fitToHeight="1" fitToWidth="1"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tabSelected="1" workbookViewId="0" topLeftCell="A1">
      <selection activeCell="F168" sqref="F168"/>
    </sheetView>
  </sheetViews>
  <sheetFormatPr defaultColWidth="9.140625" defaultRowHeight="12.75" outlineLevelRow="1"/>
  <cols>
    <col min="1" max="1" width="12.421875" style="13" customWidth="1"/>
    <col min="2" max="4" width="9.28125" style="13" bestFit="1" customWidth="1"/>
    <col min="5" max="5" width="10.8515625" style="13" customWidth="1"/>
    <col min="6" max="7" width="9.28125" style="13" bestFit="1" customWidth="1"/>
    <col min="8" max="8" width="10.28125" style="13" bestFit="1" customWidth="1"/>
    <col min="9" max="9" width="9.140625" style="13" customWidth="1"/>
    <col min="10" max="10" width="13.57421875" style="13" customWidth="1"/>
    <col min="11" max="11" width="66.00390625" style="13" customWidth="1"/>
    <col min="12" max="16384" width="9.140625" style="13" customWidth="1"/>
  </cols>
  <sheetData>
    <row r="1" s="60" customFormat="1" ht="12.75">
      <c r="A1" s="59" t="s">
        <v>95</v>
      </c>
    </row>
    <row r="2" s="65" customFormat="1" ht="12.75">
      <c r="A2" s="65" t="s">
        <v>241</v>
      </c>
    </row>
    <row r="3" s="65" customFormat="1" ht="12.75">
      <c r="A3" s="65" t="s">
        <v>238</v>
      </c>
    </row>
    <row r="4" s="65" customFormat="1" ht="12.75">
      <c r="A4" s="65" t="s">
        <v>240</v>
      </c>
    </row>
    <row r="5" s="65" customFormat="1" ht="12.75">
      <c r="A5" s="65" t="s">
        <v>242</v>
      </c>
    </row>
    <row r="6" s="65" customFormat="1" ht="12.75">
      <c r="A6" s="65" t="s">
        <v>245</v>
      </c>
    </row>
    <row r="8" s="68" customFormat="1" ht="12.75">
      <c r="A8" s="68" t="s">
        <v>97</v>
      </c>
    </row>
    <row r="9" s="65" customFormat="1" ht="12.75">
      <c r="A9" s="65" t="s">
        <v>243</v>
      </c>
    </row>
    <row r="10" s="65" customFormat="1" ht="12.75">
      <c r="A10" s="65" t="s">
        <v>239</v>
      </c>
    </row>
    <row r="11" s="65" customFormat="1" ht="12.75">
      <c r="A11" s="65" t="s">
        <v>96</v>
      </c>
    </row>
    <row r="12" s="65" customFormat="1" ht="12.75">
      <c r="A12" s="65" t="s">
        <v>244</v>
      </c>
    </row>
    <row r="14" s="68" customFormat="1" ht="12.75">
      <c r="A14" s="68" t="s">
        <v>98</v>
      </c>
    </row>
    <row r="15" s="90" customFormat="1" ht="12.75">
      <c r="A15" s="91" t="s">
        <v>247</v>
      </c>
    </row>
    <row r="16" ht="12.75">
      <c r="A16" s="65" t="s">
        <v>246</v>
      </c>
    </row>
    <row r="17" s="90" customFormat="1" ht="12.75">
      <c r="A17" s="91" t="s">
        <v>248</v>
      </c>
    </row>
    <row r="18" s="90" customFormat="1" ht="12.75">
      <c r="A18" s="91" t="s">
        <v>249</v>
      </c>
    </row>
    <row r="19" s="90" customFormat="1" ht="12.75">
      <c r="A19" s="91" t="s">
        <v>250</v>
      </c>
    </row>
    <row r="20" s="90" customFormat="1" ht="12.75">
      <c r="A20" s="91"/>
    </row>
    <row r="21" s="90" customFormat="1" ht="12.75">
      <c r="A21" s="91" t="s">
        <v>251</v>
      </c>
    </row>
    <row r="22" s="90" customFormat="1" ht="12.75">
      <c r="A22" s="91" t="s">
        <v>252</v>
      </c>
    </row>
    <row r="23" s="90" customFormat="1" ht="12.75">
      <c r="A23" s="91" t="s">
        <v>253</v>
      </c>
    </row>
    <row r="24" s="90" customFormat="1" ht="12.75">
      <c r="A24" s="91" t="s">
        <v>254</v>
      </c>
    </row>
    <row r="25" s="90" customFormat="1" ht="12.75">
      <c r="A25" s="91" t="s">
        <v>255</v>
      </c>
    </row>
    <row r="26" s="90" customFormat="1" ht="12.75">
      <c r="A26" s="91" t="s">
        <v>256</v>
      </c>
    </row>
    <row r="27" s="90" customFormat="1" ht="12.75">
      <c r="A27" s="91" t="s">
        <v>257</v>
      </c>
    </row>
    <row r="28" s="90" customFormat="1" ht="12.75"/>
    <row r="29" s="90" customFormat="1" ht="12.75">
      <c r="A29" s="91" t="s">
        <v>258</v>
      </c>
    </row>
    <row r="30" s="90" customFormat="1" ht="12.75">
      <c r="A30" s="66" t="s">
        <v>259</v>
      </c>
    </row>
    <row r="32" s="59" customFormat="1" ht="12.75">
      <c r="A32" s="59" t="s">
        <v>101</v>
      </c>
    </row>
    <row r="33" ht="12.75">
      <c r="A33" s="69" t="s">
        <v>120</v>
      </c>
    </row>
    <row r="35" s="65" customFormat="1" ht="12.75" outlineLevel="1">
      <c r="A35" s="92" t="s">
        <v>103</v>
      </c>
    </row>
    <row r="36" s="65" customFormat="1" ht="12.75" outlineLevel="1">
      <c r="A36" s="92"/>
    </row>
    <row r="37" s="67" customFormat="1" ht="12.75" outlineLevel="1">
      <c r="A37" s="93" t="s">
        <v>104</v>
      </c>
    </row>
    <row r="38" s="67" customFormat="1" ht="12.75" outlineLevel="1">
      <c r="A38" s="94" t="s">
        <v>105</v>
      </c>
    </row>
    <row r="39" s="67" customFormat="1" ht="12.75" outlineLevel="1">
      <c r="A39" s="94" t="s">
        <v>107</v>
      </c>
    </row>
    <row r="40" s="67" customFormat="1" ht="12.75" outlineLevel="1">
      <c r="A40" s="94"/>
    </row>
    <row r="41" s="67" customFormat="1" ht="12.75" outlineLevel="1">
      <c r="A41" s="94" t="s">
        <v>108</v>
      </c>
    </row>
    <row r="42" s="67" customFormat="1" ht="12.75" outlineLevel="1">
      <c r="A42" s="94" t="s">
        <v>114</v>
      </c>
    </row>
    <row r="43" s="67" customFormat="1" ht="12.75" outlineLevel="1">
      <c r="A43" s="94" t="s">
        <v>115</v>
      </c>
    </row>
    <row r="44" s="67" customFormat="1" ht="12.75" outlineLevel="1">
      <c r="A44" s="94" t="s">
        <v>113</v>
      </c>
    </row>
    <row r="45" s="67" customFormat="1" ht="12.75" outlineLevel="1">
      <c r="A45" s="94" t="s">
        <v>111</v>
      </c>
    </row>
    <row r="46" s="67" customFormat="1" ht="12.75" outlineLevel="1">
      <c r="A46" s="94" t="s">
        <v>112</v>
      </c>
    </row>
    <row r="47" s="65" customFormat="1" ht="12.75">
      <c r="A47" s="66"/>
    </row>
    <row r="48" s="65" customFormat="1" ht="12.75" outlineLevel="1">
      <c r="A48" s="66" t="s">
        <v>116</v>
      </c>
    </row>
    <row r="49" s="66" customFormat="1" ht="12.75" outlineLevel="1">
      <c r="A49" s="67" t="s">
        <v>117</v>
      </c>
    </row>
    <row r="50" s="66" customFormat="1" ht="12.75" outlineLevel="1">
      <c r="A50" s="67" t="s">
        <v>118</v>
      </c>
    </row>
    <row r="51" ht="12.75">
      <c r="A51" s="65"/>
    </row>
    <row r="52" ht="12.75" outlineLevel="1">
      <c r="A52" s="95" t="s">
        <v>119</v>
      </c>
    </row>
    <row r="53" ht="12.75" outlineLevel="1">
      <c r="A53" s="65"/>
    </row>
    <row r="54" ht="12.75" outlineLevel="1">
      <c r="A54" s="66" t="s">
        <v>121</v>
      </c>
    </row>
    <row r="55" ht="12.75" outlineLevel="1">
      <c r="A55" s="67" t="s">
        <v>122</v>
      </c>
    </row>
    <row r="56" ht="12.75" outlineLevel="1">
      <c r="A56" s="67" t="s">
        <v>124</v>
      </c>
    </row>
    <row r="57" ht="12.75">
      <c r="A57" s="65"/>
    </row>
    <row r="58" ht="12.75" outlineLevel="1">
      <c r="A58" s="95" t="s">
        <v>28</v>
      </c>
    </row>
    <row r="59" ht="12.75" outlineLevel="1">
      <c r="A59" s="67" t="s">
        <v>123</v>
      </c>
    </row>
    <row r="60" ht="12.75">
      <c r="A60" s="65"/>
    </row>
    <row r="61" ht="12.75" outlineLevel="1">
      <c r="A61" s="68" t="s">
        <v>125</v>
      </c>
    </row>
    <row r="62" ht="12.75" outlineLevel="1">
      <c r="A62" s="66" t="s">
        <v>128</v>
      </c>
    </row>
    <row r="63" ht="12.75" outlineLevel="1">
      <c r="A63" s="66" t="s">
        <v>129</v>
      </c>
    </row>
    <row r="64" ht="12.75" outlineLevel="1">
      <c r="A64" s="66" t="s">
        <v>130</v>
      </c>
    </row>
    <row r="65" ht="12.75" outlineLevel="1">
      <c r="A65" s="66" t="s">
        <v>131</v>
      </c>
    </row>
    <row r="66" ht="12.75" outlineLevel="1">
      <c r="A66" s="66" t="s">
        <v>132</v>
      </c>
    </row>
    <row r="67" ht="12.75" outlineLevel="1">
      <c r="A67" s="66" t="s">
        <v>133</v>
      </c>
    </row>
    <row r="68" ht="12.75" outlineLevel="1">
      <c r="A68" s="66" t="s">
        <v>260</v>
      </c>
    </row>
    <row r="69" ht="12.75">
      <c r="A69" s="66" t="s">
        <v>261</v>
      </c>
    </row>
    <row r="71" s="59" customFormat="1" ht="12.75">
      <c r="A71" s="59" t="s">
        <v>135</v>
      </c>
    </row>
    <row r="72" ht="12.75">
      <c r="A72" s="13" t="s">
        <v>134</v>
      </c>
    </row>
    <row r="73" ht="12.75">
      <c r="A73" s="13" t="s">
        <v>136</v>
      </c>
    </row>
    <row r="74" ht="12.75">
      <c r="B74" s="13" t="s">
        <v>137</v>
      </c>
    </row>
    <row r="75" ht="12.75">
      <c r="C75" s="13" t="s">
        <v>138</v>
      </c>
    </row>
    <row r="76" ht="12.75">
      <c r="C76" s="13" t="s">
        <v>139</v>
      </c>
    </row>
    <row r="77" ht="12.75">
      <c r="B77" s="13" t="s">
        <v>140</v>
      </c>
    </row>
    <row r="78" ht="12.75">
      <c r="B78" s="13" t="s">
        <v>141</v>
      </c>
    </row>
    <row r="79" ht="12.75">
      <c r="C79" s="13" t="s">
        <v>142</v>
      </c>
    </row>
    <row r="80" ht="12.75">
      <c r="C80" s="13" t="s">
        <v>143</v>
      </c>
    </row>
    <row r="81" ht="12.75">
      <c r="C81" s="13" t="s">
        <v>144</v>
      </c>
    </row>
    <row r="82" ht="12.75">
      <c r="B82" s="13" t="s">
        <v>145</v>
      </c>
    </row>
    <row r="83" ht="12.75">
      <c r="C83" s="13" t="s">
        <v>146</v>
      </c>
    </row>
    <row r="84" ht="12.75">
      <c r="C84" s="13" t="s">
        <v>147</v>
      </c>
    </row>
    <row r="86" s="59" customFormat="1" ht="12.75">
      <c r="A86" s="59" t="s">
        <v>151</v>
      </c>
    </row>
    <row r="88" ht="12.75">
      <c r="A88" s="68" t="s">
        <v>262</v>
      </c>
    </row>
    <row r="89" ht="12.75">
      <c r="A89" s="68"/>
    </row>
    <row r="91" spans="1:6" ht="12.75">
      <c r="A91" s="13" t="s">
        <v>148</v>
      </c>
      <c r="E91" s="13" t="s">
        <v>149</v>
      </c>
      <c r="F91" s="13" t="s">
        <v>150</v>
      </c>
    </row>
    <row r="92" spans="1:6" ht="12.75">
      <c r="A92" s="13" t="s">
        <v>152</v>
      </c>
      <c r="E92" s="13" t="s">
        <v>149</v>
      </c>
      <c r="F92" s="13" t="s">
        <v>153</v>
      </c>
    </row>
    <row r="93" ht="12.75">
      <c r="B93" s="13" t="s">
        <v>155</v>
      </c>
    </row>
    <row r="94" ht="12.75">
      <c r="B94" s="13" t="s">
        <v>154</v>
      </c>
    </row>
    <row r="95" ht="12.75">
      <c r="B95" s="13" t="s">
        <v>156</v>
      </c>
    </row>
    <row r="96" ht="12.75">
      <c r="C96" s="13" t="s">
        <v>157</v>
      </c>
    </row>
    <row r="97" ht="12.75">
      <c r="B97" s="13" t="s">
        <v>158</v>
      </c>
    </row>
    <row r="98" spans="3:8" ht="12.75">
      <c r="C98" s="13" t="s">
        <v>159</v>
      </c>
      <c r="H98" s="71">
        <v>11733.3</v>
      </c>
    </row>
    <row r="99" spans="3:8" ht="13.5" thickBot="1">
      <c r="C99" s="13" t="s">
        <v>160</v>
      </c>
      <c r="H99" s="72">
        <v>-11882.9</v>
      </c>
    </row>
    <row r="100" spans="3:9" ht="12.75">
      <c r="C100" s="74" t="s">
        <v>161</v>
      </c>
      <c r="H100" s="71">
        <v>-149.6</v>
      </c>
      <c r="I100" s="13" t="s">
        <v>162</v>
      </c>
    </row>
    <row r="102" spans="3:9" ht="12.75">
      <c r="C102" s="13" t="s">
        <v>163</v>
      </c>
      <c r="H102" s="71">
        <v>-2700</v>
      </c>
      <c r="I102" s="13" t="s">
        <v>166</v>
      </c>
    </row>
    <row r="103" spans="3:8" ht="13.5" thickBot="1">
      <c r="C103" s="13" t="s">
        <v>164</v>
      </c>
      <c r="H103" s="72">
        <v>296000</v>
      </c>
    </row>
    <row r="104" spans="3:9" ht="12.75">
      <c r="C104" s="74" t="s">
        <v>170</v>
      </c>
      <c r="H104" s="30">
        <f>269000</f>
        <v>269000</v>
      </c>
      <c r="I104" s="68" t="s">
        <v>165</v>
      </c>
    </row>
    <row r="105" ht="12.75">
      <c r="B105" s="13" t="s">
        <v>167</v>
      </c>
    </row>
    <row r="106" ht="12.75">
      <c r="C106" s="13" t="s">
        <v>168</v>
      </c>
    </row>
    <row r="108" spans="1:17" ht="12.75">
      <c r="A108" s="59" t="s">
        <v>169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1:17" s="76" customFormat="1" ht="12.75">
      <c r="A109" s="77" t="s">
        <v>186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="65" customFormat="1" ht="12.75">
      <c r="A110" s="66" t="s">
        <v>178</v>
      </c>
    </row>
    <row r="111" s="65" customFormat="1" ht="12.75">
      <c r="A111" s="66"/>
    </row>
    <row r="112" s="65" customFormat="1" ht="12.75">
      <c r="A112" s="66" t="s">
        <v>177</v>
      </c>
    </row>
    <row r="113" spans="1:6" s="65" customFormat="1" ht="12.75">
      <c r="A113" s="66"/>
      <c r="F113" s="65" t="s">
        <v>263</v>
      </c>
    </row>
    <row r="114" spans="1:10" s="65" customFormat="1" ht="12.75">
      <c r="A114" s="66"/>
      <c r="B114" s="65" t="s">
        <v>33</v>
      </c>
      <c r="C114" s="65" t="s">
        <v>46</v>
      </c>
      <c r="D114" s="65" t="s">
        <v>34</v>
      </c>
      <c r="E114" s="65" t="s">
        <v>172</v>
      </c>
      <c r="F114" s="65" t="s">
        <v>173</v>
      </c>
      <c r="G114" s="65" t="s">
        <v>174</v>
      </c>
      <c r="H114" s="65" t="s">
        <v>175</v>
      </c>
      <c r="J114" s="95" t="s">
        <v>176</v>
      </c>
    </row>
    <row r="115" spans="1:10" s="65" customFormat="1" ht="12.75">
      <c r="A115" s="66" t="s">
        <v>171</v>
      </c>
      <c r="B115" s="96">
        <v>4828.3</v>
      </c>
      <c r="C115" s="96">
        <v>0.35</v>
      </c>
      <c r="D115" s="96">
        <f>B115*(1-C115)</f>
        <v>3138.3950000000004</v>
      </c>
      <c r="E115" s="96">
        <f>3925</f>
        <v>3925</v>
      </c>
      <c r="F115" s="96">
        <f>280</f>
        <v>280</v>
      </c>
      <c r="G115" s="96">
        <v>0</v>
      </c>
      <c r="H115" s="96">
        <v>1000</v>
      </c>
      <c r="I115" s="96"/>
      <c r="J115" s="96">
        <f>D115+E115+F115-G115-H115</f>
        <v>6343.395</v>
      </c>
    </row>
    <row r="116" spans="1:10" s="65" customFormat="1" ht="12.75">
      <c r="A116" s="6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9" s="65" customFormat="1" ht="12.75">
      <c r="A117" s="66" t="s">
        <v>179</v>
      </c>
      <c r="I117" s="65" t="s">
        <v>181</v>
      </c>
    </row>
    <row r="118" spans="1:6" s="65" customFormat="1" ht="12.75">
      <c r="A118" s="66"/>
      <c r="B118" s="65" t="s">
        <v>182</v>
      </c>
      <c r="E118" s="65" t="s">
        <v>180</v>
      </c>
      <c r="F118" s="97">
        <f>(7528.3+0)/(54120-13925)</f>
        <v>0.18729443960691627</v>
      </c>
    </row>
    <row r="119" spans="1:2" s="65" customFormat="1" ht="12.75">
      <c r="A119" s="66"/>
      <c r="B119" s="65" t="s">
        <v>183</v>
      </c>
    </row>
    <row r="120" spans="1:2" s="65" customFormat="1" ht="12.75">
      <c r="A120" s="66"/>
      <c r="B120" s="65" t="s">
        <v>184</v>
      </c>
    </row>
    <row r="121" s="65" customFormat="1" ht="12.75">
      <c r="A121" s="66"/>
    </row>
    <row r="122" spans="1:6" s="65" customFormat="1" ht="12.75">
      <c r="A122" s="66" t="s">
        <v>264</v>
      </c>
      <c r="F122" s="65" t="s">
        <v>185</v>
      </c>
    </row>
    <row r="124" ht="12.75">
      <c r="A124" s="68" t="s">
        <v>187</v>
      </c>
    </row>
    <row r="125" ht="12.75">
      <c r="A125" s="68"/>
    </row>
    <row r="126" spans="1:11" s="78" customFormat="1" ht="31.5">
      <c r="A126" s="79" t="s">
        <v>189</v>
      </c>
      <c r="B126" s="79"/>
      <c r="C126" s="79"/>
      <c r="D126" s="79" t="s">
        <v>188</v>
      </c>
      <c r="E126" s="80" t="s">
        <v>199</v>
      </c>
      <c r="F126" s="79" t="s">
        <v>193</v>
      </c>
      <c r="G126" s="79" t="s">
        <v>194</v>
      </c>
      <c r="H126" s="79" t="s">
        <v>195</v>
      </c>
      <c r="I126" s="79" t="s">
        <v>198</v>
      </c>
      <c r="J126" s="79"/>
      <c r="K126" s="79"/>
    </row>
    <row r="127" spans="1:9" ht="12.75">
      <c r="A127" s="68" t="s">
        <v>190</v>
      </c>
      <c r="D127" s="71">
        <v>5000</v>
      </c>
      <c r="E127" s="71">
        <v>2100</v>
      </c>
      <c r="F127" s="71">
        <v>4000</v>
      </c>
      <c r="G127" s="71">
        <v>2000</v>
      </c>
      <c r="H127" s="71">
        <v>1000</v>
      </c>
      <c r="I127" s="30">
        <f>17846-D127-E127-F127-G127-H127</f>
        <v>3746</v>
      </c>
    </row>
    <row r="128" spans="1:8" ht="12.75">
      <c r="A128" s="68" t="s">
        <v>191</v>
      </c>
      <c r="D128" s="30"/>
      <c r="E128" s="30"/>
      <c r="F128" s="71">
        <v>5</v>
      </c>
      <c r="G128" s="71">
        <v>10</v>
      </c>
      <c r="H128" s="30"/>
    </row>
    <row r="129" spans="1:8" ht="12.75">
      <c r="A129" s="68" t="s">
        <v>192</v>
      </c>
      <c r="D129" s="13" t="s">
        <v>196</v>
      </c>
      <c r="H129" s="13" t="s">
        <v>197</v>
      </c>
    </row>
    <row r="130" spans="1:11" ht="13.5" thickBot="1">
      <c r="A130" s="81"/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1:11" ht="38.25" customHeight="1">
      <c r="A131" s="68" t="s">
        <v>200</v>
      </c>
      <c r="D131" s="13" t="s">
        <v>201</v>
      </c>
      <c r="E131" s="13" t="s">
        <v>201</v>
      </c>
      <c r="F131" s="13" t="s">
        <v>201</v>
      </c>
      <c r="G131" s="13" t="s">
        <v>201</v>
      </c>
      <c r="H131" s="13" t="s">
        <v>201</v>
      </c>
      <c r="I131" s="13" t="s">
        <v>201</v>
      </c>
      <c r="K131" s="84" t="s">
        <v>266</v>
      </c>
    </row>
    <row r="132" spans="1:11" ht="12.75">
      <c r="A132" s="68" t="s">
        <v>218</v>
      </c>
      <c r="K132" s="98" t="s">
        <v>265</v>
      </c>
    </row>
    <row r="133" spans="1:9" ht="12.75">
      <c r="A133" s="74" t="s">
        <v>219</v>
      </c>
      <c r="B133" s="13" t="s">
        <v>203</v>
      </c>
      <c r="D133" s="13" t="s">
        <v>201</v>
      </c>
      <c r="E133" s="13" t="s">
        <v>201</v>
      </c>
      <c r="F133" s="13" t="s">
        <v>201</v>
      </c>
      <c r="G133" s="13" t="s">
        <v>201</v>
      </c>
      <c r="H133" s="13" t="s">
        <v>201</v>
      </c>
      <c r="I133" s="13" t="s">
        <v>201</v>
      </c>
    </row>
    <row r="134" spans="1:11" ht="12.75">
      <c r="A134" s="74" t="s">
        <v>219</v>
      </c>
      <c r="B134" s="13" t="s">
        <v>202</v>
      </c>
      <c r="D134" s="13" t="s">
        <v>201</v>
      </c>
      <c r="E134" s="13" t="s">
        <v>201</v>
      </c>
      <c r="F134" s="13" t="s">
        <v>201</v>
      </c>
      <c r="G134" s="13" t="s">
        <v>201</v>
      </c>
      <c r="H134" s="13" t="s">
        <v>201</v>
      </c>
      <c r="I134" s="13" t="s">
        <v>201</v>
      </c>
      <c r="K134" s="13" t="s">
        <v>281</v>
      </c>
    </row>
    <row r="135" spans="1:11" ht="12.75">
      <c r="A135" s="74" t="s">
        <v>219</v>
      </c>
      <c r="B135" s="13" t="s">
        <v>206</v>
      </c>
      <c r="D135" s="82" t="s">
        <v>224</v>
      </c>
      <c r="E135" s="13" t="s">
        <v>201</v>
      </c>
      <c r="F135" s="90" t="s">
        <v>201</v>
      </c>
      <c r="G135" s="90" t="s">
        <v>201</v>
      </c>
      <c r="H135" s="13" t="s">
        <v>201</v>
      </c>
      <c r="I135" s="13" t="s">
        <v>201</v>
      </c>
      <c r="K135" s="13" t="s">
        <v>267</v>
      </c>
    </row>
    <row r="136" spans="1:11" ht="12.75">
      <c r="A136" s="74" t="s">
        <v>219</v>
      </c>
      <c r="B136" s="13" t="s">
        <v>221</v>
      </c>
      <c r="D136" s="13" t="s">
        <v>223</v>
      </c>
      <c r="E136" s="13" t="s">
        <v>201</v>
      </c>
      <c r="F136" s="13" t="s">
        <v>201</v>
      </c>
      <c r="G136" s="13" t="s">
        <v>201</v>
      </c>
      <c r="H136" s="13" t="s">
        <v>201</v>
      </c>
      <c r="I136" s="71" t="s">
        <v>201</v>
      </c>
      <c r="J136" s="13" t="s">
        <v>229</v>
      </c>
      <c r="K136" s="13" t="s">
        <v>222</v>
      </c>
    </row>
    <row r="137" spans="1:10" ht="12.75">
      <c r="A137" s="74" t="s">
        <v>219</v>
      </c>
      <c r="B137" s="13" t="s">
        <v>204</v>
      </c>
      <c r="D137" s="13" t="s">
        <v>201</v>
      </c>
      <c r="E137" s="13" t="s">
        <v>201</v>
      </c>
      <c r="F137" s="13" t="s">
        <v>223</v>
      </c>
      <c r="G137" s="13" t="s">
        <v>223</v>
      </c>
      <c r="H137" s="13" t="s">
        <v>201</v>
      </c>
      <c r="I137" s="13" t="s">
        <v>201</v>
      </c>
      <c r="J137" s="13" t="s">
        <v>230</v>
      </c>
    </row>
    <row r="138" spans="1:9" ht="12.75">
      <c r="A138" s="74" t="s">
        <v>219</v>
      </c>
      <c r="B138" s="13" t="s">
        <v>205</v>
      </c>
      <c r="D138" s="13" t="s">
        <v>201</v>
      </c>
      <c r="E138" s="13" t="s">
        <v>201</v>
      </c>
      <c r="F138" s="13" t="s">
        <v>201</v>
      </c>
      <c r="G138" s="13" t="s">
        <v>201</v>
      </c>
      <c r="H138" s="13" t="s">
        <v>201</v>
      </c>
      <c r="I138" s="13" t="s">
        <v>201</v>
      </c>
    </row>
    <row r="139" spans="1:11" ht="12.75">
      <c r="A139" s="74" t="s">
        <v>220</v>
      </c>
      <c r="B139" s="13" t="s">
        <v>207</v>
      </c>
      <c r="D139" s="13" t="s">
        <v>201</v>
      </c>
      <c r="E139" s="13" t="s">
        <v>201</v>
      </c>
      <c r="F139" s="13" t="s">
        <v>201</v>
      </c>
      <c r="G139" s="13" t="s">
        <v>201</v>
      </c>
      <c r="H139" s="13" t="s">
        <v>201</v>
      </c>
      <c r="I139" s="13" t="s">
        <v>201</v>
      </c>
      <c r="K139" s="13" t="s">
        <v>225</v>
      </c>
    </row>
    <row r="140" spans="1:11" ht="12.75">
      <c r="A140" s="74" t="s">
        <v>220</v>
      </c>
      <c r="B140" s="13" t="s">
        <v>208</v>
      </c>
      <c r="D140" s="13" t="s">
        <v>201</v>
      </c>
      <c r="E140" s="13" t="s">
        <v>201</v>
      </c>
      <c r="F140" s="13" t="s">
        <v>201</v>
      </c>
      <c r="G140" s="13" t="s">
        <v>201</v>
      </c>
      <c r="H140" s="13" t="s">
        <v>201</v>
      </c>
      <c r="I140" s="13" t="s">
        <v>201</v>
      </c>
      <c r="K140" s="13" t="s">
        <v>226</v>
      </c>
    </row>
    <row r="141" spans="1:11" ht="12.75">
      <c r="A141" s="74" t="s">
        <v>220</v>
      </c>
      <c r="B141" s="13" t="s">
        <v>209</v>
      </c>
      <c r="D141" s="13" t="s">
        <v>201</v>
      </c>
      <c r="E141" s="13" t="s">
        <v>201</v>
      </c>
      <c r="F141" s="13" t="s">
        <v>201</v>
      </c>
      <c r="G141" s="13" t="s">
        <v>201</v>
      </c>
      <c r="H141" s="13" t="s">
        <v>201</v>
      </c>
      <c r="I141" s="13" t="s">
        <v>201</v>
      </c>
      <c r="K141" s="13" t="s">
        <v>226</v>
      </c>
    </row>
    <row r="142" spans="1:9" ht="12.75">
      <c r="A142" s="74" t="s">
        <v>220</v>
      </c>
      <c r="B142" s="13" t="s">
        <v>210</v>
      </c>
      <c r="D142" s="13" t="s">
        <v>201</v>
      </c>
      <c r="E142" s="13" t="s">
        <v>201</v>
      </c>
      <c r="F142" s="13" t="s">
        <v>201</v>
      </c>
      <c r="G142" s="13" t="s">
        <v>201</v>
      </c>
      <c r="H142" s="13" t="s">
        <v>201</v>
      </c>
      <c r="I142" s="13" t="s">
        <v>201</v>
      </c>
    </row>
    <row r="143" spans="1:9" ht="12.75">
      <c r="A143" s="74" t="s">
        <v>220</v>
      </c>
      <c r="B143" s="13" t="s">
        <v>46</v>
      </c>
      <c r="D143" s="13" t="s">
        <v>201</v>
      </c>
      <c r="E143" s="13" t="s">
        <v>201</v>
      </c>
      <c r="F143" s="13" t="s">
        <v>201</v>
      </c>
      <c r="G143" s="13" t="s">
        <v>201</v>
      </c>
      <c r="H143" s="13" t="s">
        <v>201</v>
      </c>
      <c r="I143" s="13" t="s">
        <v>201</v>
      </c>
    </row>
    <row r="144" spans="1:9" ht="12.75">
      <c r="A144" s="74" t="s">
        <v>220</v>
      </c>
      <c r="B144" s="13" t="s">
        <v>45</v>
      </c>
      <c r="D144" s="13" t="s">
        <v>201</v>
      </c>
      <c r="E144" s="13" t="s">
        <v>201</v>
      </c>
      <c r="F144" s="13" t="s">
        <v>201</v>
      </c>
      <c r="G144" s="13" t="s">
        <v>201</v>
      </c>
      <c r="H144" s="13" t="s">
        <v>201</v>
      </c>
      <c r="I144" s="13" t="s">
        <v>201</v>
      </c>
    </row>
    <row r="145" spans="1:9" ht="12.75">
      <c r="A145" s="74" t="s">
        <v>220</v>
      </c>
      <c r="B145" s="13" t="s">
        <v>211</v>
      </c>
      <c r="D145" s="13" t="s">
        <v>201</v>
      </c>
      <c r="E145" s="13" t="s">
        <v>201</v>
      </c>
      <c r="F145" s="13" t="s">
        <v>201</v>
      </c>
      <c r="G145" s="13" t="s">
        <v>201</v>
      </c>
      <c r="H145" s="13" t="s">
        <v>201</v>
      </c>
      <c r="I145" s="13" t="s">
        <v>201</v>
      </c>
    </row>
    <row r="146" spans="1:9" ht="12.75">
      <c r="A146" s="74" t="s">
        <v>220</v>
      </c>
      <c r="B146" s="13" t="s">
        <v>212</v>
      </c>
      <c r="D146" s="13" t="s">
        <v>201</v>
      </c>
      <c r="E146" s="13" t="s">
        <v>201</v>
      </c>
      <c r="F146" s="13" t="s">
        <v>201</v>
      </c>
      <c r="G146" s="13" t="s">
        <v>201</v>
      </c>
      <c r="H146" s="13" t="s">
        <v>201</v>
      </c>
      <c r="I146" s="13" t="s">
        <v>201</v>
      </c>
    </row>
    <row r="148" ht="12.75">
      <c r="A148" s="68" t="s">
        <v>213</v>
      </c>
    </row>
    <row r="149" spans="2:11" ht="12.75">
      <c r="B149" s="13" t="s">
        <v>214</v>
      </c>
      <c r="J149" s="13" t="s">
        <v>228</v>
      </c>
      <c r="K149" s="13" t="s">
        <v>269</v>
      </c>
    </row>
    <row r="150" spans="2:11" ht="12.75">
      <c r="B150" s="13" t="s">
        <v>215</v>
      </c>
      <c r="K150" s="13" t="s">
        <v>201</v>
      </c>
    </row>
    <row r="151" spans="2:11" ht="12.75">
      <c r="B151" s="13" t="s">
        <v>216</v>
      </c>
      <c r="K151" s="13" t="s">
        <v>227</v>
      </c>
    </row>
    <row r="152" spans="2:11" ht="12.75">
      <c r="B152" s="13" t="s">
        <v>3</v>
      </c>
      <c r="K152" s="13" t="s">
        <v>227</v>
      </c>
    </row>
    <row r="154" ht="12.75">
      <c r="A154" s="68" t="s">
        <v>217</v>
      </c>
    </row>
    <row r="156" spans="10:11" ht="12.75">
      <c r="J156" s="13" t="s">
        <v>231</v>
      </c>
      <c r="K156" s="13" t="s">
        <v>232</v>
      </c>
    </row>
    <row r="157" spans="1:10" ht="13.5" thickBo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</row>
    <row r="158" s="100" customFormat="1" ht="12.75">
      <c r="A158" s="99"/>
    </row>
    <row r="159" s="100" customFormat="1" ht="12.75">
      <c r="A159" s="99" t="s">
        <v>280</v>
      </c>
    </row>
    <row r="160" spans="2:6" s="100" customFormat="1" ht="12.75">
      <c r="B160" s="100" t="s">
        <v>270</v>
      </c>
      <c r="D160" s="102">
        <v>3</v>
      </c>
      <c r="F160" s="101" t="s">
        <v>276</v>
      </c>
    </row>
    <row r="161" spans="2:6" s="100" customFormat="1" ht="12.75">
      <c r="B161" s="100" t="s">
        <v>271</v>
      </c>
      <c r="D161" s="102">
        <v>10</v>
      </c>
      <c r="F161" s="101" t="s">
        <v>268</v>
      </c>
    </row>
    <row r="162" spans="2:6" s="100" customFormat="1" ht="12.75">
      <c r="B162" s="100" t="s">
        <v>272</v>
      </c>
      <c r="D162" s="102">
        <v>0.4</v>
      </c>
      <c r="F162" s="100" t="s">
        <v>273</v>
      </c>
    </row>
    <row r="163" spans="4:6" s="100" customFormat="1" ht="12.75">
      <c r="D163" s="102">
        <v>0.74</v>
      </c>
      <c r="F163" s="100" t="s">
        <v>274</v>
      </c>
    </row>
    <row r="164" spans="4:6" s="100" customFormat="1" ht="12.75">
      <c r="D164" s="102">
        <v>1</v>
      </c>
      <c r="F164" s="100" t="s">
        <v>275</v>
      </c>
    </row>
    <row r="165" s="100" customFormat="1" ht="12.75">
      <c r="A165" s="99" t="s">
        <v>277</v>
      </c>
    </row>
    <row r="166" spans="2:6" s="100" customFormat="1" ht="12.75">
      <c r="B166" s="100" t="s">
        <v>278</v>
      </c>
      <c r="D166" s="21">
        <v>0.23</v>
      </c>
      <c r="F166" s="100" t="s">
        <v>279</v>
      </c>
    </row>
    <row r="167" s="100" customFormat="1" ht="12.75">
      <c r="F167" s="100" t="s">
        <v>282</v>
      </c>
    </row>
    <row r="168" s="100" customFormat="1" ht="12.75"/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Big Boss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Financiero</dc:title>
  <dc:subject/>
  <dc:creator>Mar Santana;Pedro Amador</dc:creator>
  <cp:keywords>Chachi, Piruli, Economía para torpes, Guapi</cp:keywords>
  <dc:description>grupo_esade_torpes@pedroamador.com</dc:description>
  <cp:lastModifiedBy>Pedro Amador López</cp:lastModifiedBy>
  <cp:lastPrinted>2002-04-26T09:43:14Z</cp:lastPrinted>
  <dcterms:created xsi:type="dcterms:W3CDTF">2002-04-06T16:35:20Z</dcterms:created>
  <dcterms:modified xsi:type="dcterms:W3CDTF">2002-06-28T08:19:23Z</dcterms:modified>
  <cp:category/>
  <cp:version/>
  <cp:contentType/>
  <cp:contentStatus/>
</cp:coreProperties>
</file>