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15" windowWidth="15330" windowHeight="4575" tabRatio="731" activeTab="0"/>
  </bookViews>
  <sheets>
    <sheet name="Valores" sheetId="1" r:id="rId1"/>
    <sheet name="Porcentajes" sheetId="2" r:id="rId2"/>
    <sheet name="GRAF_Patrimonio_1a5" sheetId="3" r:id="rId3"/>
    <sheet name="GRAF_PyG_1a5" sheetId="4" r:id="rId4"/>
    <sheet name="Conclusiones_Astica" sheetId="5" r:id="rId5"/>
    <sheet name="Planificacion" sheetId="6" r:id="rId6"/>
  </sheets>
  <definedNames>
    <definedName name="PyG">#REF!</definedName>
    <definedName name="PyG1">#REF!</definedName>
    <definedName name="PyG2">#REF!</definedName>
    <definedName name="PyG3">#REF!</definedName>
    <definedName name="PyG4">#REF!</definedName>
    <definedName name="PyG5">#REF!</definedName>
    <definedName name="Solvencia">#REF!</definedName>
  </definedNames>
  <calcPr fullCalcOnLoad="1"/>
</workbook>
</file>

<file path=xl/comments1.xml><?xml version="1.0" encoding="utf-8"?>
<comments xmlns="http://schemas.openxmlformats.org/spreadsheetml/2006/main">
  <authors>
    <author>Pedro Amador L?pez</author>
  </authors>
  <commentList>
    <comment ref="A86" authorId="0">
      <text>
        <r>
          <rPr>
            <b/>
            <sz val="8"/>
            <rFont val="Tahoma"/>
            <family val="0"/>
          </rPr>
          <t xml:space="preserve">Indicar qué predomina:
- Activo FIJO, - Activo CIRCULANTE, - Equilibrado
Ejemplo: </t>
        </r>
        <r>
          <rPr>
            <sz val="8"/>
            <rFont val="Tahoma"/>
            <family val="2"/>
          </rPr>
          <t>AF 25%, AC 75%: Predomina el activo circulante sobre el activo fijo</t>
        </r>
      </text>
    </comment>
    <comment ref="A87" authorId="0">
      <text>
        <r>
          <rPr>
            <b/>
            <sz val="8"/>
            <rFont val="Tahoma"/>
            <family val="0"/>
          </rPr>
          <t>&gt;33% indica que puede haber problemas
&gt;50% material muy antiguo, contratar un ingeniero para comprobarlou</t>
        </r>
      </text>
    </comment>
    <comment ref="A6" authorId="0">
      <text>
        <r>
          <rPr>
            <b/>
            <sz val="8"/>
            <rFont val="Tahoma"/>
            <family val="0"/>
          </rPr>
          <t xml:space="preserve">Activos pesados: Activos fijos lenta amortización  </t>
        </r>
        <r>
          <rPr>
            <sz val="8"/>
            <rFont val="Tahoma"/>
            <family val="2"/>
          </rPr>
          <t>(ej: terrenos, locales, instalaciones, interinos, y maquinaria pesada que amortize en un largo plazo -como 8 ó 10 años-)</t>
        </r>
      </text>
    </comment>
    <comment ref="A5" authorId="0">
      <text>
        <r>
          <rPr>
            <b/>
            <sz val="8"/>
            <rFont val="Tahoma"/>
            <family val="0"/>
          </rPr>
          <t xml:space="preserve">Esta es la parte del activo bruto (de los inmovilizados) que es amortizable </t>
        </r>
        <r>
          <rPr>
            <sz val="8"/>
            <rFont val="Tahoma"/>
            <family val="2"/>
          </rPr>
          <t>(no se incluye lo que no es amortizable como por ejemplo, terrenos, interinos, inmateriales, etc)</t>
        </r>
      </text>
    </comment>
    <comment ref="A88" authorId="0">
      <text>
        <r>
          <rPr>
            <b/>
            <sz val="8"/>
            <rFont val="Tahoma"/>
            <family val="0"/>
          </rPr>
          <t xml:space="preserve">Consolidado: 
Grado alto =&gt; plazos de amortización mayores, y habrá que financiarse con recursos a largo plazo (principalmente recursos propios)
Grado bajo =&gt; plazos de amortización menores, y habrá que financiarse con recursos a corto plazo (principalmente préstamos)
</t>
        </r>
      </text>
    </comment>
    <comment ref="A90" authorId="0">
      <text>
        <r>
          <rPr>
            <b/>
            <sz val="8"/>
            <rFont val="Tahoma"/>
            <family val="0"/>
          </rPr>
          <t>Marca el porcentaje de activos que son interinos, es decir, que están por hacer y no son productivos. A menor mejor</t>
        </r>
        <r>
          <rPr>
            <sz val="8"/>
            <rFont val="Tahoma"/>
            <family val="0"/>
          </rPr>
          <t xml:space="preserve">
</t>
        </r>
      </text>
    </comment>
    <comment ref="A89" authorId="0">
      <text>
        <r>
          <rPr>
            <b/>
            <sz val="8"/>
            <rFont val="Tahoma"/>
            <family val="0"/>
          </rPr>
          <t>&gt;15% : Preocupante, indica que existen demasiadas inversiones en temas externos a tu negocio propio</t>
        </r>
      </text>
    </comment>
    <comment ref="A93" authorId="0">
      <text>
        <r>
          <rPr>
            <b/>
            <sz val="8"/>
            <rFont val="Tahoma"/>
            <family val="0"/>
          </rPr>
          <t xml:space="preserve">Clasificación del endeudamiento:
</t>
        </r>
        <r>
          <rPr>
            <sz val="8"/>
            <rFont val="Tahoma"/>
            <family val="2"/>
          </rPr>
          <t>&lt;1 : Bajísimo =&gt; Puedo pedir créditos, tengo sobradas garantías
=1 : Bajo       =&gt; Puedo pedir créditos, tengo garantías
=2 : Medio    =&gt; Aún puedo pedir créditos
=3 : Alto
&gt;3 Comienza a ser excesivamente alto
&gt;5 Mejor ir a pedir dinero a un loco</t>
        </r>
      </text>
    </comment>
    <comment ref="A94" authorId="0">
      <text>
        <r>
          <rPr>
            <b/>
            <sz val="8"/>
            <rFont val="Tahoma"/>
            <family val="0"/>
          </rPr>
          <t xml:space="preserve">Indicar qué predomina:
</t>
        </r>
        <r>
          <rPr>
            <sz val="8"/>
            <rFont val="Tahoma"/>
            <family val="2"/>
          </rPr>
          <t>- Exigible a largo plazo
- Exigible a corto plazo
- Equilibrado</t>
        </r>
      </text>
    </comment>
  </commentList>
</comments>
</file>

<file path=xl/comments3.xml><?xml version="1.0" encoding="utf-8"?>
<comments xmlns="http://schemas.openxmlformats.org/spreadsheetml/2006/main">
  <authors>
    <author>Pedro Amador L?pez</author>
  </authors>
  <commentList>
    <comment ref="C3" authorId="0">
      <text>
        <r>
          <rPr>
            <b/>
            <sz val="8"/>
            <rFont val="Tahoma"/>
            <family val="0"/>
          </rPr>
          <t>Stocks</t>
        </r>
      </text>
    </comment>
    <comment ref="C4" authorId="0">
      <text>
        <r>
          <rPr>
            <b/>
            <sz val="8"/>
            <rFont val="Tahoma"/>
            <family val="0"/>
          </rPr>
          <t>Clientes</t>
        </r>
      </text>
    </comment>
    <comment ref="I3" authorId="0">
      <text>
        <r>
          <rPr>
            <b/>
            <sz val="8"/>
            <rFont val="Tahoma"/>
            <family val="0"/>
          </rPr>
          <t>Stocks</t>
        </r>
      </text>
    </comment>
    <comment ref="I4" authorId="0">
      <text>
        <r>
          <rPr>
            <b/>
            <sz val="8"/>
            <rFont val="Tahoma"/>
            <family val="0"/>
          </rPr>
          <t>Clientes</t>
        </r>
      </text>
    </comment>
    <comment ref="O3" authorId="0">
      <text>
        <r>
          <rPr>
            <b/>
            <sz val="8"/>
            <rFont val="Tahoma"/>
            <family val="0"/>
          </rPr>
          <t>Stocks</t>
        </r>
      </text>
    </comment>
    <comment ref="O4" authorId="0">
      <text>
        <r>
          <rPr>
            <b/>
            <sz val="8"/>
            <rFont val="Tahoma"/>
            <family val="0"/>
          </rPr>
          <t>Clientes</t>
        </r>
      </text>
    </comment>
    <comment ref="U3" authorId="0">
      <text>
        <r>
          <rPr>
            <b/>
            <sz val="8"/>
            <rFont val="Tahoma"/>
            <family val="0"/>
          </rPr>
          <t>Stocks</t>
        </r>
      </text>
    </comment>
    <comment ref="U4" authorId="0">
      <text>
        <r>
          <rPr>
            <b/>
            <sz val="8"/>
            <rFont val="Tahoma"/>
            <family val="0"/>
          </rPr>
          <t>Clientes</t>
        </r>
      </text>
    </comment>
    <comment ref="AA3" authorId="0">
      <text>
        <r>
          <rPr>
            <b/>
            <sz val="8"/>
            <rFont val="Tahoma"/>
            <family val="0"/>
          </rPr>
          <t>Stocks</t>
        </r>
      </text>
    </comment>
    <comment ref="AA4" authorId="0">
      <text>
        <r>
          <rPr>
            <b/>
            <sz val="8"/>
            <rFont val="Tahoma"/>
            <family val="0"/>
          </rPr>
          <t>Clientes</t>
        </r>
      </text>
    </comment>
    <comment ref="AG3" authorId="0">
      <text>
        <r>
          <rPr>
            <b/>
            <sz val="8"/>
            <rFont val="Tahoma"/>
            <family val="0"/>
          </rPr>
          <t>Stocks</t>
        </r>
      </text>
    </comment>
    <comment ref="AG4" authorId="0">
      <text>
        <r>
          <rPr>
            <b/>
            <sz val="8"/>
            <rFont val="Tahoma"/>
            <family val="0"/>
          </rPr>
          <t>Clientes</t>
        </r>
      </text>
    </comment>
    <comment ref="AM3" authorId="0">
      <text>
        <r>
          <rPr>
            <b/>
            <sz val="8"/>
            <rFont val="Tahoma"/>
            <family val="0"/>
          </rPr>
          <t>Stocks</t>
        </r>
      </text>
    </comment>
    <comment ref="AM4" authorId="0">
      <text>
        <r>
          <rPr>
            <b/>
            <sz val="8"/>
            <rFont val="Tahoma"/>
            <family val="0"/>
          </rPr>
          <t>Clientes</t>
        </r>
      </text>
    </comment>
    <comment ref="AS3" authorId="0">
      <text>
        <r>
          <rPr>
            <b/>
            <sz val="8"/>
            <rFont val="Tahoma"/>
            <family val="0"/>
          </rPr>
          <t>Stocks</t>
        </r>
      </text>
    </comment>
    <comment ref="AS4" authorId="0">
      <text>
        <r>
          <rPr>
            <b/>
            <sz val="8"/>
            <rFont val="Tahoma"/>
            <family val="0"/>
          </rPr>
          <t>Clientes</t>
        </r>
      </text>
    </comment>
    <comment ref="AY3" authorId="0">
      <text>
        <r>
          <rPr>
            <b/>
            <sz val="8"/>
            <rFont val="Tahoma"/>
            <family val="0"/>
          </rPr>
          <t>Stocks</t>
        </r>
      </text>
    </comment>
    <comment ref="AY4" authorId="0">
      <text>
        <r>
          <rPr>
            <b/>
            <sz val="8"/>
            <rFont val="Tahoma"/>
            <family val="0"/>
          </rPr>
          <t>Clientes</t>
        </r>
      </text>
    </comment>
    <comment ref="BE3" authorId="0">
      <text>
        <r>
          <rPr>
            <b/>
            <sz val="8"/>
            <rFont val="Tahoma"/>
            <family val="0"/>
          </rPr>
          <t>Stocks</t>
        </r>
      </text>
    </comment>
    <comment ref="BE4" authorId="0">
      <text>
        <r>
          <rPr>
            <b/>
            <sz val="8"/>
            <rFont val="Tahoma"/>
            <family val="0"/>
          </rPr>
          <t>Clientes</t>
        </r>
      </text>
    </comment>
    <comment ref="BK3" authorId="0">
      <text>
        <r>
          <rPr>
            <b/>
            <sz val="8"/>
            <rFont val="Tahoma"/>
            <family val="0"/>
          </rPr>
          <t>Stocks</t>
        </r>
      </text>
    </comment>
    <comment ref="BK4" authorId="0">
      <text>
        <r>
          <rPr>
            <b/>
            <sz val="8"/>
            <rFont val="Tahoma"/>
            <family val="0"/>
          </rPr>
          <t>Clientes</t>
        </r>
      </text>
    </comment>
  </commentList>
</comments>
</file>

<file path=xl/sharedStrings.xml><?xml version="1.0" encoding="utf-8"?>
<sst xmlns="http://schemas.openxmlformats.org/spreadsheetml/2006/main" count="621" uniqueCount="348">
  <si>
    <t>ACTIVO</t>
  </si>
  <si>
    <t>PASIVO</t>
  </si>
  <si>
    <t>ACTIVO FIJO BRUTO</t>
  </si>
  <si>
    <t>Clientes</t>
  </si>
  <si>
    <t>ACTIVO CIRCULANTE</t>
  </si>
  <si>
    <t>Capital Social</t>
  </si>
  <si>
    <t>TOTAL CAPITAL PROPIO</t>
  </si>
  <si>
    <t>AF</t>
  </si>
  <si>
    <t>AC</t>
  </si>
  <si>
    <t>CP</t>
  </si>
  <si>
    <t>ELP</t>
  </si>
  <si>
    <t>ECP</t>
  </si>
  <si>
    <t>Endeudamiento</t>
  </si>
  <si>
    <t>Inmovilizado material</t>
  </si>
  <si>
    <t>Inmovilizado inmaterial</t>
  </si>
  <si>
    <t>Inmovilizado interino</t>
  </si>
  <si>
    <t>1) ANÁLISIS DEL ACTIVO</t>
  </si>
  <si>
    <t>Obsolescencia</t>
  </si>
  <si>
    <t>Funcionalidad</t>
  </si>
  <si>
    <t>Interinidad</t>
  </si>
  <si>
    <t>Consolidación</t>
  </si>
  <si>
    <t>Activos pesados</t>
  </si>
  <si>
    <t>2) ANÁLISIS DEL PASIVO</t>
  </si>
  <si>
    <t>Autofinanciación</t>
  </si>
  <si>
    <t>Reservas</t>
  </si>
  <si>
    <t>Fondo Maniobra</t>
  </si>
  <si>
    <t>Morosos</t>
  </si>
  <si>
    <t>IVA</t>
  </si>
  <si>
    <t>Rotación</t>
  </si>
  <si>
    <t>Stocks Materia Prima</t>
  </si>
  <si>
    <t>Stocks Producto en curso</t>
  </si>
  <si>
    <t>Stocks Producto Acabado</t>
  </si>
  <si>
    <t>Proveedores</t>
  </si>
  <si>
    <t>BAT</t>
  </si>
  <si>
    <t>BPT</t>
  </si>
  <si>
    <t>ROA</t>
  </si>
  <si>
    <t>FAF</t>
  </si>
  <si>
    <t>FAFF</t>
  </si>
  <si>
    <t>VALORES</t>
  </si>
  <si>
    <t>Extrafuncional</t>
  </si>
  <si>
    <t>Disponible/Efectivo</t>
  </si>
  <si>
    <t>Efectos Descontados</t>
  </si>
  <si>
    <t>Total Stocks</t>
  </si>
  <si>
    <t>Otros</t>
  </si>
  <si>
    <t>EXIGIBLE LARGO PLAZO</t>
  </si>
  <si>
    <t>Dividendos</t>
  </si>
  <si>
    <t>Impuestos</t>
  </si>
  <si>
    <t>Beneficios</t>
  </si>
  <si>
    <t>Vencimientos créditos</t>
  </si>
  <si>
    <t>Efectos descontados</t>
  </si>
  <si>
    <t>EXIGIBLE CORTO PLAZO</t>
  </si>
  <si>
    <t>Impuestos (sin beneficios)</t>
  </si>
  <si>
    <t>CUENTAS PyG</t>
  </si>
  <si>
    <t>Ventas</t>
  </si>
  <si>
    <t>Otros ingresos</t>
  </si>
  <si>
    <t>Total ventas</t>
  </si>
  <si>
    <t>Costes Variables</t>
  </si>
  <si>
    <t>Margen Bruto</t>
  </si>
  <si>
    <t>Personal y Seguridad Social</t>
  </si>
  <si>
    <t>Amortización</t>
  </si>
  <si>
    <t>Costes Fijos</t>
  </si>
  <si>
    <t>Gastos financieros</t>
  </si>
  <si>
    <t>Ingresos financieros</t>
  </si>
  <si>
    <t>Result antes taxes (BAT)</t>
  </si>
  <si>
    <t>Otros ingresos atípicos</t>
  </si>
  <si>
    <t>Otros gastos atípicos</t>
  </si>
  <si>
    <t>Result. Explotación (BAIT)</t>
  </si>
  <si>
    <t>ROA/ROE</t>
  </si>
  <si>
    <t>ROA: Margen explotac</t>
  </si>
  <si>
    <t>ROA: Rotación</t>
  </si>
  <si>
    <t>Result depués taxes (BPT)</t>
  </si>
  <si>
    <t>ROE: Margen Total</t>
  </si>
  <si>
    <t>ROE: Rotación</t>
  </si>
  <si>
    <t>ROE: Después impuestos</t>
  </si>
  <si>
    <t>ROE: Antes impuestos</t>
  </si>
  <si>
    <t>3) ANÁLISIS DEL CIRCULANTE - SOLVENCIA CORRIENTE</t>
  </si>
  <si>
    <t>4) ANÁLISIS DEL CIRCULANTE - ROTACIÓN</t>
  </si>
  <si>
    <t>Solvencia General</t>
  </si>
  <si>
    <t>Acid Test</t>
  </si>
  <si>
    <t>Rot. Stocks</t>
  </si>
  <si>
    <t>Rot. General (días)</t>
  </si>
  <si>
    <t xml:space="preserve">Rot. general </t>
  </si>
  <si>
    <t>FONDO AMORTIZACIÓN</t>
  </si>
  <si>
    <t>TOTAL PASIVO NETO</t>
  </si>
  <si>
    <t>TOTAL ACTIVO BRUTO</t>
  </si>
  <si>
    <t>TOTAL ACTIVO NETO</t>
  </si>
  <si>
    <t>PORCENTAJES REFERENTES A LOS TOTALES NETOS</t>
  </si>
  <si>
    <t>ACTIVO CIRCULANTE NETO</t>
  </si>
  <si>
    <t>Plazo medio cobro</t>
  </si>
  <si>
    <t>Plazo medio pago</t>
  </si>
  <si>
    <t>Intereses</t>
  </si>
  <si>
    <t>Ventas con IVA</t>
  </si>
  <si>
    <t>Compras con IVA</t>
  </si>
  <si>
    <t>ACTIVO TOTAL NETO</t>
  </si>
  <si>
    <t>ACTIVO TOTAL BRUTO</t>
  </si>
  <si>
    <t>1) Síntesis</t>
  </si>
  <si>
    <t>1.1 Determinación de los problemas</t>
  </si>
  <si>
    <t>1.2 Se realizará un análisis patrimonial y económico del último año comparándolo con el año 1 (analizando su evolución)</t>
  </si>
  <si>
    <t>Costes variables</t>
  </si>
  <si>
    <t>OTROS</t>
  </si>
  <si>
    <t>2) Análisis histórico de la compañía</t>
  </si>
  <si>
    <t>TOTAL PASIVO BRUTO</t>
  </si>
  <si>
    <t>Análisis del activo:</t>
  </si>
  <si>
    <t>Activos amortizables</t>
  </si>
  <si>
    <t>Análisis del pasivo:</t>
  </si>
  <si>
    <t>Cíclicos</t>
  </si>
  <si>
    <t>Calidad cíclico/expreso</t>
  </si>
  <si>
    <t>Análisis dinámico</t>
  </si>
  <si>
    <t>Análisis del circulante</t>
  </si>
  <si>
    <t>Análisis patrimonial (estático y dinámico)</t>
  </si>
  <si>
    <t>Solvencia corriente</t>
  </si>
  <si>
    <t>Análisis de la cuenta de resultados</t>
  </si>
  <si>
    <t>Margen sobre ventas</t>
  </si>
  <si>
    <t>Margen sobre ventas (after tax)</t>
  </si>
  <si>
    <t>Comentar la planificación realizada que indica el texto (posibles inversiones, compras, crecimientos de ventas,…)</t>
  </si>
  <si>
    <t>3) Análisis de la planificación financiera planteada</t>
  </si>
  <si>
    <t>Análisis de los documentos (cuenta de resultados previsional, balance previsional, tesorería)</t>
  </si>
  <si>
    <t>Balance previsional: v. cómo se expresa la voluntad de inversión de la empresa y a su vez la política de financiación o devolución de deuda.</t>
  </si>
  <si>
    <t xml:space="preserve">Presupuesto de tesorería: </t>
  </si>
  <si>
    <t>Necesidad financiera acumulada:</t>
  </si>
  <si>
    <t>4) Origen de la necesidad financiera</t>
  </si>
  <si>
    <t>Necesidad financiera máxima (punta)</t>
  </si>
  <si>
    <t>de fuentes y empleos:</t>
  </si>
  <si>
    <t>Analizamos cuál es el origen de esta necesidad financiera, comprobando el cálculo del desfase financiero profundo y el origen a través del cuadro</t>
  </si>
  <si>
    <t>Cálculo del desfase financiero profundo: cómo se compara mi cash-flow con mi necesidad financiera de tesorería</t>
  </si>
  <si>
    <t>Descomponemos el desfase financiero profundo (¿ordinario? ¿extraordinario?)</t>
  </si>
  <si>
    <t>Cash Flow Explotación: BAIT + Amortizaciones</t>
  </si>
  <si>
    <t>Necesidad Financiera del presupuesto ordinario</t>
  </si>
  <si>
    <t>Desfase Financiero presupuesto ordinario</t>
  </si>
  <si>
    <t>Cash Flow Extraplotación: Gastos financieros</t>
  </si>
  <si>
    <t>Necesidad Financiera presupuesto extraordinario</t>
  </si>
  <si>
    <t>Cuadro de diferencias contables (analizamos las partidas)</t>
  </si>
  <si>
    <t>5) Elaboración de la estrategia financiera</t>
  </si>
  <si>
    <t>Desfase Financiero presupuesto extraordinario</t>
  </si>
  <si>
    <t>AMORT</t>
  </si>
  <si>
    <t>PROVIS.</t>
  </si>
  <si>
    <t>DIVIDEN.</t>
  </si>
  <si>
    <t>Vtos anuales e.l.p</t>
  </si>
  <si>
    <t>Cash Flow libre</t>
  </si>
  <si>
    <r>
      <t xml:space="preserve">Cálculo del </t>
    </r>
    <r>
      <rPr>
        <b/>
        <sz val="10"/>
        <rFont val="Arial"/>
        <family val="2"/>
      </rPr>
      <t>Cash Flow libre</t>
    </r>
    <r>
      <rPr>
        <sz val="10"/>
        <rFont val="Arial"/>
        <family val="0"/>
      </rPr>
      <t xml:space="preserve"> = BPT + AMORT + PROVISIONES - DIVIDENDOS - VTOS ANUALES EXIGIBLE A LARGO PLAZO</t>
    </r>
  </si>
  <si>
    <r>
      <t xml:space="preserve">Cálculo de la necesidad financiera acumulada máxima (comprobar lo de antes): </t>
    </r>
    <r>
      <rPr>
        <b/>
        <sz val="10"/>
        <rFont val="Arial"/>
        <family val="2"/>
      </rPr>
      <t>17846</t>
    </r>
  </si>
  <si>
    <t>ROA provisional = (BAITprev +- ATIPICOS ) / Activo total neto prev.</t>
  </si>
  <si>
    <t>El activo total neto prev. es la del bruto-amortización acumulada</t>
  </si>
  <si>
    <t>5.1</t>
  </si>
  <si>
    <r>
      <t xml:space="preserve">5.2 Selección de recursos financieros - </t>
    </r>
    <r>
      <rPr>
        <sz val="10"/>
        <rFont val="Arial"/>
        <family val="2"/>
      </rPr>
      <t xml:space="preserve">Nunca hablar de nada, sin haber mirado los puntos de la 5.1 - </t>
    </r>
  </si>
  <si>
    <t>Tipo</t>
  </si>
  <si>
    <t>$</t>
  </si>
  <si>
    <t>Años</t>
  </si>
  <si>
    <t>Trimestre</t>
  </si>
  <si>
    <t>Otros (devolución deuda, caja, etc)</t>
  </si>
  <si>
    <t>Ampliación de capital</t>
  </si>
  <si>
    <t>NO</t>
  </si>
  <si>
    <t>Industrial</t>
  </si>
  <si>
    <t>Obligaciones</t>
  </si>
  <si>
    <t>Leasing</t>
  </si>
  <si>
    <t>Lease Back</t>
  </si>
  <si>
    <t>Prov. Equipos</t>
  </si>
  <si>
    <t>Corto plazo prov.</t>
  </si>
  <si>
    <t>Confirming</t>
  </si>
  <si>
    <t>Descuento bancario</t>
  </si>
  <si>
    <t>Factoring</t>
  </si>
  <si>
    <t>Créditos exportación</t>
  </si>
  <si>
    <t>Pólizas</t>
  </si>
  <si>
    <t>Reducción activos</t>
  </si>
  <si>
    <t>Quitar activos</t>
  </si>
  <si>
    <t>Extrafucionales</t>
  </si>
  <si>
    <t>Bajar stocks</t>
  </si>
  <si>
    <t>Cambio de objetivos</t>
  </si>
  <si>
    <t>Finanzaciones</t>
  </si>
  <si>
    <t>largo pla.</t>
  </si>
  <si>
    <t>corto pla.</t>
  </si>
  <si>
    <t>Hipoteca</t>
  </si>
  <si>
    <t>SI</t>
  </si>
  <si>
    <t>PORCENTAJES REFERENTES A LOS TOTALES BRUTOS</t>
  </si>
  <si>
    <t>PREV</t>
  </si>
  <si>
    <t>ACTIVO FIJO NETO</t>
  </si>
  <si>
    <t>CLIENTES</t>
  </si>
  <si>
    <t>STOCKS</t>
  </si>
  <si>
    <t>Predomina AF ó AC</t>
  </si>
  <si>
    <t>Predomina corto/largo</t>
  </si>
  <si>
    <t>(Reservas+Fondo Amortización+Fondo Previsión)/Capital propio</t>
  </si>
  <si>
    <t>Descripción</t>
  </si>
  <si>
    <t>Expansión encargada al hijo</t>
  </si>
  <si>
    <t>Parece que pueden salir de la crisis en el 93</t>
  </si>
  <si>
    <t>Si producirlos (los nuevos productos) en la nueva fábrica o fuera (subcontratarlo)</t>
  </si>
  <si>
    <t>Año 9:…</t>
  </si>
  <si>
    <t>Cuenta de resultados previsional</t>
  </si>
  <si>
    <t>Movimientos de circulante:</t>
  </si>
  <si>
    <t xml:space="preserve">Suma: Cash Flow con la necesidad financiera punta </t>
  </si>
  <si>
    <t>Endeudamiento histórico = xxxx (el del último año)</t>
  </si>
  <si>
    <t>=&gt; ¿realmente podemos endeudarnos?</t>
  </si>
  <si>
    <t>Necesidad1</t>
  </si>
  <si>
    <t>Necesidad2</t>
  </si>
  <si>
    <t>Necesidad3</t>
  </si>
  <si>
    <t>Necesidad4</t>
  </si>
  <si>
    <t>Necesidad5</t>
  </si>
  <si>
    <t>EBIDTA</t>
  </si>
  <si>
    <t>BAIT+Amortizaciones</t>
  </si>
  <si>
    <t>Análisis PyG detallado</t>
  </si>
  <si>
    <t>VENTAS NETAS</t>
  </si>
  <si>
    <t>COSTE VARIABLE TOTAL</t>
  </si>
  <si>
    <t>MARGEN BRUTO</t>
  </si>
  <si>
    <t>TOTAL COSTE FIJO</t>
  </si>
  <si>
    <t>METODO DE ANÁLISIS Y PLANIFICACIÓN FINANCIERA</t>
  </si>
  <si>
    <t>1.- ANALISIS PATRIMONIAL (BALANCE)</t>
  </si>
  <si>
    <t>ANALISIS ESTÁTICO</t>
  </si>
  <si>
    <t>GRADO DE EQUILIBRIO</t>
  </si>
  <si>
    <t>ecp</t>
  </si>
  <si>
    <t>ANALISIS DEL ACTIVO</t>
  </si>
  <si>
    <t>- EQUILIBRIO AF/AC ¿De qué cuentas viene?</t>
  </si>
  <si>
    <t>FONDO DE AMORTIZACIÓN</t>
  </si>
  <si>
    <t>- RATIO DE OBSOLESCENCIA</t>
  </si>
  <si>
    <t>ACTIVO FIJO BRUTO AMORTIZABLE</t>
  </si>
  <si>
    <r>
      <t>- GRADO DE FUNCIONALIDAD (en qué porcentaje el activo de la empresa está dedicado a su actividad principal, más de un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15%</t>
    </r>
    <r>
      <rPr>
        <sz val="10"/>
        <rFont val="Arial"/>
        <family val="0"/>
      </rPr>
      <t xml:space="preserve"> es preocupante)</t>
    </r>
  </si>
  <si>
    <t xml:space="preserve">AF CONSOLIDADO </t>
  </si>
  <si>
    <t>- GRADO DE CONSOLIDACIÓN DEL AF</t>
  </si>
  <si>
    <t>ANALISIS DEL PASIVO</t>
  </si>
  <si>
    <t xml:space="preserve">TOTAL EXIGIBLE </t>
  </si>
  <si>
    <t xml:space="preserve">INDICE DE ENDEUDAMIENTO </t>
  </si>
  <si>
    <t>E =</t>
  </si>
  <si>
    <t>CAPITAL PROPIO</t>
  </si>
  <si>
    <t>CALIDAD DEL ENDEUDAMIENTO</t>
  </si>
  <si>
    <t>% CORTO Y LARGO PLAZO</t>
  </si>
  <si>
    <t>CÍCLICO O EXPRESO (ideal 85% cíclico y 15% expreso)</t>
  </si>
  <si>
    <t>ANALISIS DINÁMICO</t>
  </si>
  <si>
    <t xml:space="preserve">ESQUEMA DE FUENTES Y EMPLEOS </t>
  </si>
  <si>
    <t>EMPLEOS</t>
  </si>
  <si>
    <t>FUENTES</t>
  </si>
  <si>
    <t xml:space="preserve">VA </t>
  </si>
  <si>
    <t>VA</t>
  </si>
  <si>
    <t>Inmovilizado Bruto</t>
  </si>
  <si>
    <t>Stocks</t>
  </si>
  <si>
    <t>Realizable Funcional</t>
  </si>
  <si>
    <t>Fondo de Amortización</t>
  </si>
  <si>
    <t>Disponible</t>
  </si>
  <si>
    <t xml:space="preserve">CASH FLOW </t>
  </si>
  <si>
    <t>BAIT + AMORTIZACIONES + PROVISIONES</t>
  </si>
  <si>
    <t>FONDO DE MANIOBRA</t>
  </si>
  <si>
    <t>AC - ecp</t>
  </si>
  <si>
    <t>RATIO DE SOLVENCIA CORRIENTE</t>
  </si>
  <si>
    <t>AC - S - ED</t>
  </si>
  <si>
    <t xml:space="preserve">ACID TEST </t>
  </si>
  <si>
    <t>ecp - Dto Banc.</t>
  </si>
  <si>
    <t>2.- ROTACIÓN DEL CIRCULANTE</t>
  </si>
  <si>
    <t>ROTACIÓN GENERAL DEL CIRCULANTE</t>
  </si>
  <si>
    <t>x 365</t>
  </si>
  <si>
    <t>VENTAS + IVA</t>
  </si>
  <si>
    <t>ROTACIÓN DEL STOCK</t>
  </si>
  <si>
    <t>VENTAS A PC</t>
  </si>
  <si>
    <t>STOCK MATERIA PRIMA</t>
  </si>
  <si>
    <t xml:space="preserve">PERIODO MEDIO DE APROVISIONAMIENTO </t>
  </si>
  <si>
    <t>SALIDAS DE ALMACÉN</t>
  </si>
  <si>
    <t>STOCK PRODUCTOS EN CURSO</t>
  </si>
  <si>
    <t xml:space="preserve">PERIODO MEDIO DE FABRICACIÓN </t>
  </si>
  <si>
    <t>PRODUCCIÓN TERMINADA</t>
  </si>
  <si>
    <t>STOCK DE PRODUCTO ACABADO</t>
  </si>
  <si>
    <t>PERMANENCIA MEDIA DEL PRODUCTO SIN VENDER</t>
  </si>
  <si>
    <t xml:space="preserve">CLIENTES - MOROSOS </t>
  </si>
  <si>
    <t>PLAZO MEDIO DE COBRO</t>
  </si>
  <si>
    <t xml:space="preserve">VENTAS A PRECIO DE VENTA </t>
  </si>
  <si>
    <t>PROVEEDORES</t>
  </si>
  <si>
    <t>PLAZO MEDIO CONCEDIDO</t>
  </si>
  <si>
    <t>COMPRAS</t>
  </si>
  <si>
    <t>CUENTA DE RESULTADOS</t>
  </si>
  <si>
    <t>VENTAS</t>
  </si>
  <si>
    <t>-</t>
  </si>
  <si>
    <t>COSTES VARIABLES</t>
  </si>
  <si>
    <t>COSTES FIJOS</t>
  </si>
  <si>
    <t>MARGEN DE CONTRIBUCIÓN</t>
  </si>
  <si>
    <t>COSTES COMUNES</t>
  </si>
  <si>
    <t>BAIT (Beneficio antes de Impuestos e Intereses)</t>
  </si>
  <si>
    <t>GASTOS FINANCIEROS</t>
  </si>
  <si>
    <t>ATIPICOS</t>
  </si>
  <si>
    <t>BAT (Beneficio antes de Impuestos)</t>
  </si>
  <si>
    <t>IMPUESTO</t>
  </si>
  <si>
    <t>BPI (Beneficio después de Impuestos)</t>
  </si>
  <si>
    <t>BAIT + ATIPICOS</t>
  </si>
  <si>
    <t>ROA (Rendimiento del Activo)</t>
  </si>
  <si>
    <t>ATN</t>
  </si>
  <si>
    <t>RESULTADO NETO DE EXPLOTACIÓN</t>
  </si>
  <si>
    <t>ROA  Especifico</t>
  </si>
  <si>
    <t>AEN</t>
  </si>
  <si>
    <t>BAIT</t>
  </si>
  <si>
    <t xml:space="preserve">ROA </t>
  </si>
  <si>
    <t xml:space="preserve">MARGEN x ROTACIÓN </t>
  </si>
  <si>
    <t xml:space="preserve">ACTIVO DE EXPLOTACIÓN </t>
  </si>
  <si>
    <t>ROE (Rentabilidad de Fondos Propios)</t>
  </si>
  <si>
    <t xml:space="preserve">RELACIÓN ROA Y ROE </t>
  </si>
  <si>
    <t xml:space="preserve">SI ROA &lt; i </t>
  </si>
  <si>
    <t xml:space="preserve">efecto de apalancamiento es desfavorable </t>
  </si>
  <si>
    <t>(ROE&lt; ROA)</t>
  </si>
  <si>
    <t xml:space="preserve">SI ROA &gt; i </t>
  </si>
  <si>
    <t xml:space="preserve">efecto de apalancamiento es favorable </t>
  </si>
  <si>
    <t>(ROE&gt; ROA)</t>
  </si>
  <si>
    <t xml:space="preserve">SI ROA = i </t>
  </si>
  <si>
    <t xml:space="preserve">NO HAY efecto de apalancamiento </t>
  </si>
  <si>
    <t>(ROE=ROA)</t>
  </si>
  <si>
    <t>E= 0</t>
  </si>
  <si>
    <t xml:space="preserve">ROE </t>
  </si>
  <si>
    <t>La planificación financiera parte de tres documentos</t>
  </si>
  <si>
    <t>(esquema pag. 170)</t>
  </si>
  <si>
    <t>PREVISION DE VENTAS</t>
  </si>
  <si>
    <t>CR PREVISIONAL</t>
  </si>
  <si>
    <t>MOVIMIENTOS DE PAGOS Y COBROS NETOS</t>
  </si>
  <si>
    <t>BALANCE PREVISIONAL</t>
  </si>
  <si>
    <t>PRESUPUESTO DE TESORERÍA</t>
  </si>
  <si>
    <t>- ORDINARIO (referido a la actividad de la empresa)</t>
  </si>
  <si>
    <t>- EXTRAORDINARIO (no referido a la actividad de la empresa)</t>
  </si>
  <si>
    <t>Fases de la planificación financiera</t>
  </si>
  <si>
    <t xml:space="preserve">1.- Cuantía del problema financiero : </t>
  </si>
  <si>
    <r>
      <t xml:space="preserve">- </t>
    </r>
    <r>
      <rPr>
        <b/>
        <sz val="10"/>
        <rFont val="Arial"/>
        <family val="2"/>
      </rPr>
      <t>NECESIDAD FINANCIERA</t>
    </r>
    <r>
      <rPr>
        <sz val="10"/>
        <rFont val="Arial"/>
        <family val="0"/>
      </rPr>
      <t xml:space="preserve"> (Resultado Final del PRESUPUESTO DE TESORERÍA)</t>
    </r>
  </si>
  <si>
    <t xml:space="preserve">- DESFASE FINANCIERO PROFUNDO = </t>
  </si>
  <si>
    <t>CASH FLOW (BAT + AMORTIZACIONES)  - NECESIDAD FINANCIERA</t>
  </si>
  <si>
    <t xml:space="preserve">1.- Conocimiento del origen del problema financiero : </t>
  </si>
  <si>
    <t>ANÁLISIS DEL PPTO. ORDINARIO Y EXTRAORDINARIO</t>
  </si>
  <si>
    <t>- DESFASE FINANCIERO ORDINARIO = CASH FLOW EXPLOTACIÓN  - DIFERENCIA PPTO. ORDINARIO</t>
  </si>
  <si>
    <t>+</t>
  </si>
  <si>
    <t>- DESFASE FINANCIERO DEL PPTO. EXTRAORDINARIO = CASH FLOW EXTRAORDINARIO  - DIFERENCIA PPTO. EXTRAORDINARIO</t>
  </si>
  <si>
    <t>- EFECTO FINANCIERO DEL IVA</t>
  </si>
  <si>
    <t>- LIQUIDEZ ADICIONAL</t>
  </si>
  <si>
    <t>ESQUEMA DE FUENTES Y EMPLEOS</t>
  </si>
  <si>
    <t>Comparación de los movimientos de las cuentas (último balance VS balance previsional)</t>
  </si>
  <si>
    <t>CLASES DE NECESIDADES FINANCIERAS</t>
  </si>
  <si>
    <t>De  Activo Fijo</t>
  </si>
  <si>
    <t>De Activo Circulante</t>
  </si>
  <si>
    <t>Transitorias</t>
  </si>
  <si>
    <t>Permanentes</t>
  </si>
  <si>
    <t xml:space="preserve">3.- Selección de los recursos </t>
  </si>
  <si>
    <t>BAIT PREVISTO + ATIPICOS PREVISTOS</t>
  </si>
  <si>
    <t xml:space="preserve">ROA PREVISIONAL = </t>
  </si>
  <si>
    <t>ACTIVO TOTAL NETO PLANIFICADO</t>
  </si>
  <si>
    <t>ROA p &gt; i</t>
  </si>
  <si>
    <t>Plantear endeudamiento con fondos ajenospara aprovechar el FAF sobre el ROE</t>
  </si>
  <si>
    <t>ROA p &lt; i</t>
  </si>
  <si>
    <t>Recurrir a FFPP para no penalizar el ROE</t>
  </si>
  <si>
    <t>ELP + ecp</t>
  </si>
  <si>
    <t>RATIO E HISTÓRICO</t>
  </si>
  <si>
    <t>E como límite a futuros endeudamientos</t>
  </si>
  <si>
    <t xml:space="preserve">E = </t>
  </si>
  <si>
    <t>CALIDAD DE LA DEUDA</t>
  </si>
  <si>
    <t>Abrir posibilidades de renegociación o refinanciación</t>
  </si>
  <si>
    <t>CASH FLOW LIBRE</t>
  </si>
  <si>
    <t>Expresa la capacidad de devolver deuda futura</t>
  </si>
  <si>
    <t>CFL = BPT + ATIPICOS - VELP -D</t>
  </si>
  <si>
    <t>VELP = Vencimientos anuales fruto de exigible a LP</t>
  </si>
  <si>
    <t>D = Compromisos de dividendos para el futuro</t>
  </si>
  <si>
    <t>3.- ANALISIS DE LOS RESULTADOS</t>
  </si>
  <si>
    <t xml:space="preserve">4. PLANIFICACIÓN </t>
  </si>
</sst>
</file>

<file path=xl/styles.xml><?xml version="1.0" encoding="utf-8"?>
<styleSheet xmlns="http://schemas.openxmlformats.org/spreadsheetml/2006/main">
  <numFmts count="2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</numFmts>
  <fonts count="34">
    <font>
      <sz val="10"/>
      <name val="Arial"/>
      <family val="0"/>
    </font>
    <font>
      <sz val="8"/>
      <name val="Arial"/>
      <family val="0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2.5"/>
      <name val="Arial"/>
      <family val="0"/>
    </font>
    <font>
      <sz val="1"/>
      <name val="Arial"/>
      <family val="0"/>
    </font>
    <font>
      <sz val="4.75"/>
      <name val="Arial"/>
      <family val="0"/>
    </font>
    <font>
      <sz val="1.5"/>
      <name val="Arial"/>
      <family val="0"/>
    </font>
    <font>
      <sz val="10"/>
      <color indexed="9"/>
      <name val="Arial"/>
      <family val="0"/>
    </font>
    <font>
      <b/>
      <sz val="7"/>
      <color indexed="9"/>
      <name val="Arial"/>
      <family val="2"/>
    </font>
    <font>
      <b/>
      <sz val="8"/>
      <name val="Tahoma"/>
      <family val="0"/>
    </font>
    <font>
      <sz val="8"/>
      <color indexed="9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8"/>
      <color indexed="9"/>
      <name val="Arial"/>
      <family val="2"/>
    </font>
    <font>
      <b/>
      <i/>
      <sz val="8"/>
      <color indexed="9"/>
      <name val="Arial"/>
      <family val="2"/>
    </font>
    <font>
      <i/>
      <sz val="8"/>
      <name val="Arial"/>
      <family val="2"/>
    </font>
    <font>
      <sz val="9"/>
      <name val="Arial"/>
      <family val="0"/>
    </font>
    <font>
      <b/>
      <i/>
      <sz val="10"/>
      <color indexed="9"/>
      <name val="Arial"/>
      <family val="2"/>
    </font>
    <font>
      <b/>
      <sz val="9"/>
      <color indexed="9"/>
      <name val="Arial"/>
      <family val="2"/>
    </font>
    <font>
      <sz val="1.75"/>
      <name val="Arial"/>
      <family val="0"/>
    </font>
    <font>
      <sz val="3.5"/>
      <name val="Arial"/>
      <family val="0"/>
    </font>
    <font>
      <sz val="18"/>
      <name val="Arial"/>
      <family val="0"/>
    </font>
    <font>
      <sz val="10"/>
      <color indexed="8"/>
      <name val="Arial"/>
      <family val="0"/>
    </font>
    <font>
      <b/>
      <i/>
      <sz val="9"/>
      <color indexed="9"/>
      <name val="Arial"/>
      <family val="2"/>
    </font>
    <font>
      <sz val="8"/>
      <name val="Tahoma"/>
      <family val="0"/>
    </font>
    <font>
      <sz val="8"/>
      <name val="Bookman Old Style"/>
      <family val="1"/>
    </font>
    <font>
      <b/>
      <sz val="8"/>
      <name val="Arial"/>
      <family val="0"/>
    </font>
    <font>
      <b/>
      <sz val="8"/>
      <name val="Bookman Old Style"/>
      <family val="1"/>
    </font>
    <font>
      <sz val="6"/>
      <name val="Arial"/>
      <family val="2"/>
    </font>
    <font>
      <sz val="5"/>
      <name val="Arial"/>
      <family val="0"/>
    </font>
    <font>
      <sz val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0" fillId="3" borderId="0" xfId="0" applyFill="1" applyAlignment="1">
      <alignment/>
    </xf>
    <xf numFmtId="0" fontId="2" fillId="4" borderId="0" xfId="0" applyFont="1" applyFill="1" applyAlignment="1">
      <alignment/>
    </xf>
    <xf numFmtId="0" fontId="0" fillId="5" borderId="0" xfId="0" applyFill="1" applyAlignment="1">
      <alignment/>
    </xf>
    <xf numFmtId="0" fontId="3" fillId="6" borderId="0" xfId="0" applyFont="1" applyFill="1" applyAlignment="1">
      <alignment/>
    </xf>
    <xf numFmtId="0" fontId="0" fillId="0" borderId="0" xfId="0" applyAlignment="1">
      <alignment horizontal="left"/>
    </xf>
    <xf numFmtId="0" fontId="2" fillId="4" borderId="0" xfId="0" applyFont="1" applyFill="1" applyAlignment="1">
      <alignment horizontal="left"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9" fontId="0" fillId="0" borderId="0" xfId="21" applyAlignment="1">
      <alignment/>
    </xf>
    <xf numFmtId="0" fontId="0" fillId="8" borderId="0" xfId="0" applyFill="1" applyAlignment="1">
      <alignment/>
    </xf>
    <xf numFmtId="0" fontId="0" fillId="2" borderId="0" xfId="0" applyFill="1" applyAlignment="1">
      <alignment/>
    </xf>
    <xf numFmtId="49" fontId="0" fillId="0" borderId="0" xfId="0" applyNumberFormat="1" applyAlignment="1">
      <alignment/>
    </xf>
    <xf numFmtId="9" fontId="0" fillId="9" borderId="0" xfId="0" applyNumberFormat="1" applyFill="1" applyAlignment="1">
      <alignment horizontal="left"/>
    </xf>
    <xf numFmtId="9" fontId="0" fillId="6" borderId="0" xfId="0" applyNumberFormat="1" applyFill="1" applyAlignment="1">
      <alignment horizontal="left"/>
    </xf>
    <xf numFmtId="9" fontId="0" fillId="10" borderId="0" xfId="0" applyNumberFormat="1" applyFill="1" applyAlignment="1">
      <alignment horizontal="left"/>
    </xf>
    <xf numFmtId="9" fontId="0" fillId="11" borderId="0" xfId="0" applyNumberFormat="1" applyFill="1" applyAlignment="1">
      <alignment horizontal="left"/>
    </xf>
    <xf numFmtId="9" fontId="0" fillId="0" borderId="0" xfId="0" applyNumberFormat="1" applyAlignment="1">
      <alignment horizontal="left"/>
    </xf>
    <xf numFmtId="9" fontId="0" fillId="12" borderId="0" xfId="0" applyNumberFormat="1" applyFill="1" applyAlignment="1">
      <alignment/>
    </xf>
    <xf numFmtId="9" fontId="0" fillId="13" borderId="0" xfId="0" applyNumberFormat="1" applyFill="1" applyAlignment="1">
      <alignment/>
    </xf>
    <xf numFmtId="9" fontId="0" fillId="3" borderId="0" xfId="0" applyNumberFormat="1" applyFill="1" applyAlignment="1">
      <alignment/>
    </xf>
    <xf numFmtId="0" fontId="0" fillId="11" borderId="0" xfId="0" applyFill="1" applyAlignment="1">
      <alignment/>
    </xf>
    <xf numFmtId="0" fontId="2" fillId="2" borderId="1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left"/>
    </xf>
    <xf numFmtId="0" fontId="2" fillId="4" borderId="2" xfId="0" applyFont="1" applyFill="1" applyBorder="1" applyAlignment="1">
      <alignment/>
    </xf>
    <xf numFmtId="0" fontId="2" fillId="4" borderId="3" xfId="0" applyFont="1" applyFill="1" applyBorder="1" applyAlignment="1">
      <alignment/>
    </xf>
    <xf numFmtId="0" fontId="16" fillId="4" borderId="3" xfId="0" applyFont="1" applyFill="1" applyBorder="1" applyAlignment="1">
      <alignment horizontal="left"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0" fillId="4" borderId="0" xfId="0" applyFill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20" fillId="4" borderId="0" xfId="0" applyFont="1" applyFill="1" applyAlignment="1">
      <alignment/>
    </xf>
    <xf numFmtId="0" fontId="2" fillId="0" borderId="0" xfId="0" applyFont="1" applyFill="1" applyAlignment="1">
      <alignment/>
    </xf>
    <xf numFmtId="0" fontId="21" fillId="4" borderId="0" xfId="0" applyFont="1" applyFill="1" applyAlignment="1">
      <alignment/>
    </xf>
    <xf numFmtId="0" fontId="18" fillId="5" borderId="0" xfId="0" applyFont="1" applyFill="1" applyAlignment="1">
      <alignment horizontal="right"/>
    </xf>
    <xf numFmtId="0" fontId="19" fillId="3" borderId="0" xfId="0" applyFont="1" applyFill="1" applyAlignment="1">
      <alignment/>
    </xf>
    <xf numFmtId="9" fontId="15" fillId="8" borderId="0" xfId="21" applyFont="1" applyFill="1" applyAlignment="1">
      <alignment/>
    </xf>
    <xf numFmtId="0" fontId="15" fillId="8" borderId="0" xfId="0" applyFont="1" applyFill="1" applyAlignment="1">
      <alignment/>
    </xf>
    <xf numFmtId="9" fontId="12" fillId="3" borderId="0" xfId="21" applyFont="1" applyFill="1" applyAlignment="1">
      <alignment/>
    </xf>
    <xf numFmtId="9" fontId="15" fillId="9" borderId="0" xfId="21" applyFont="1" applyFill="1" applyAlignment="1">
      <alignment/>
    </xf>
    <xf numFmtId="9" fontId="0" fillId="0" borderId="0" xfId="21" applyFill="1" applyAlignment="1">
      <alignment/>
    </xf>
    <xf numFmtId="0" fontId="15" fillId="9" borderId="0" xfId="0" applyFont="1" applyFill="1" applyAlignment="1">
      <alignment/>
    </xf>
    <xf numFmtId="0" fontId="12" fillId="11" borderId="0" xfId="0" applyFont="1" applyFill="1" applyAlignment="1">
      <alignment/>
    </xf>
    <xf numFmtId="0" fontId="12" fillId="14" borderId="0" xfId="0" applyFont="1" applyFill="1" applyAlignment="1">
      <alignment/>
    </xf>
    <xf numFmtId="0" fontId="1" fillId="11" borderId="0" xfId="0" applyFont="1" applyFill="1" applyAlignment="1">
      <alignment/>
    </xf>
    <xf numFmtId="0" fontId="0" fillId="11" borderId="0" xfId="0" applyFont="1" applyFill="1" applyAlignment="1">
      <alignment/>
    </xf>
    <xf numFmtId="0" fontId="25" fillId="6" borderId="0" xfId="0" applyFont="1" applyFill="1" applyAlignment="1">
      <alignment/>
    </xf>
    <xf numFmtId="0" fontId="17" fillId="4" borderId="0" xfId="0" applyFont="1" applyFill="1" applyAlignment="1">
      <alignment/>
    </xf>
    <xf numFmtId="0" fontId="26" fillId="4" borderId="0" xfId="0" applyFont="1" applyFill="1" applyAlignment="1">
      <alignment/>
    </xf>
    <xf numFmtId="0" fontId="0" fillId="0" borderId="0" xfId="0" applyFill="1" applyBorder="1" applyAlignment="1">
      <alignment/>
    </xf>
    <xf numFmtId="9" fontId="0" fillId="0" borderId="0" xfId="21" applyFill="1" applyBorder="1" applyAlignment="1">
      <alignment/>
    </xf>
    <xf numFmtId="2" fontId="0" fillId="0" borderId="0" xfId="21" applyNumberFormat="1" applyFill="1" applyBorder="1" applyAlignment="1">
      <alignment/>
    </xf>
    <xf numFmtId="0" fontId="16" fillId="4" borderId="0" xfId="0" applyFont="1" applyFill="1" applyAlignment="1">
      <alignment/>
    </xf>
    <xf numFmtId="9" fontId="15" fillId="6" borderId="0" xfId="21" applyFont="1" applyFill="1" applyAlignment="1">
      <alignment/>
    </xf>
    <xf numFmtId="0" fontId="0" fillId="0" borderId="1" xfId="0" applyFill="1" applyBorder="1" applyAlignment="1">
      <alignment/>
    </xf>
    <xf numFmtId="49" fontId="2" fillId="2" borderId="0" xfId="0" applyNumberFormat="1" applyFont="1" applyFill="1" applyAlignment="1">
      <alignment/>
    </xf>
    <xf numFmtId="49" fontId="8" fillId="2" borderId="0" xfId="0" applyNumberFormat="1" applyFont="1" applyFill="1" applyAlignment="1">
      <alignment/>
    </xf>
    <xf numFmtId="0" fontId="12" fillId="3" borderId="0" xfId="0" applyFont="1" applyFill="1" applyAlignment="1">
      <alignment horizontal="right"/>
    </xf>
    <xf numFmtId="0" fontId="12" fillId="5" borderId="0" xfId="0" applyFont="1" applyFill="1" applyAlignment="1">
      <alignment horizontal="right"/>
    </xf>
    <xf numFmtId="0" fontId="1" fillId="0" borderId="0" xfId="0" applyFont="1" applyFill="1" applyBorder="1" applyAlignment="1">
      <alignment horizontal="left"/>
    </xf>
    <xf numFmtId="2" fontId="0" fillId="0" borderId="0" xfId="0" applyNumberFormat="1" applyFill="1" applyAlignment="1">
      <alignment/>
    </xf>
    <xf numFmtId="49" fontId="0" fillId="0" borderId="0" xfId="0" applyNumberFormat="1" applyAlignment="1">
      <alignment horizontal="left" indent="1"/>
    </xf>
    <xf numFmtId="49" fontId="0" fillId="0" borderId="0" xfId="0" applyNumberFormat="1" applyAlignment="1">
      <alignment horizontal="left" indent="2"/>
    </xf>
    <xf numFmtId="49" fontId="0" fillId="0" borderId="0" xfId="0" applyNumberFormat="1" applyAlignment="1">
      <alignment horizontal="left" indent="3"/>
    </xf>
    <xf numFmtId="49" fontId="15" fillId="0" borderId="0" xfId="0" applyNumberFormat="1" applyFont="1" applyAlignment="1">
      <alignment/>
    </xf>
    <xf numFmtId="49" fontId="15" fillId="0" borderId="1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4" xfId="0" applyNumberFormat="1" applyBorder="1" applyAlignment="1">
      <alignment/>
    </xf>
    <xf numFmtId="49" fontId="0" fillId="0" borderId="4" xfId="0" applyNumberFormat="1" applyBorder="1" applyAlignment="1">
      <alignment/>
    </xf>
    <xf numFmtId="49" fontId="12" fillId="0" borderId="0" xfId="0" applyNumberFormat="1" applyFont="1" applyAlignment="1">
      <alignment/>
    </xf>
    <xf numFmtId="49" fontId="2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ont="1" applyFill="1" applyAlignment="1">
      <alignment/>
    </xf>
    <xf numFmtId="49" fontId="1" fillId="0" borderId="0" xfId="0" applyNumberFormat="1" applyFont="1" applyAlignment="1">
      <alignment/>
    </xf>
    <xf numFmtId="49" fontId="16" fillId="15" borderId="0" xfId="0" applyNumberFormat="1" applyFont="1" applyFill="1" applyAlignment="1">
      <alignment/>
    </xf>
    <xf numFmtId="49" fontId="9" fillId="15" borderId="0" xfId="0" applyNumberFormat="1" applyFont="1" applyFill="1" applyAlignment="1">
      <alignment wrapText="1"/>
    </xf>
    <xf numFmtId="49" fontId="15" fillId="0" borderId="4" xfId="0" applyNumberFormat="1" applyFont="1" applyBorder="1" applyAlignment="1">
      <alignment/>
    </xf>
    <xf numFmtId="0" fontId="0" fillId="0" borderId="0" xfId="0" applyFont="1" applyFill="1" applyAlignment="1">
      <alignment/>
    </xf>
    <xf numFmtId="49" fontId="1" fillId="0" borderId="0" xfId="0" applyNumberFormat="1" applyFont="1" applyAlignment="1">
      <alignment wrapText="1"/>
    </xf>
    <xf numFmtId="0" fontId="15" fillId="5" borderId="0" xfId="0" applyFont="1" applyFill="1" applyAlignment="1">
      <alignment/>
    </xf>
    <xf numFmtId="9" fontId="15" fillId="0" borderId="0" xfId="21" applyFont="1" applyFill="1" applyAlignment="1">
      <alignment/>
    </xf>
    <xf numFmtId="0" fontId="15" fillId="0" borderId="0" xfId="0" applyFont="1" applyFill="1" applyAlignment="1">
      <alignment/>
    </xf>
    <xf numFmtId="9" fontId="12" fillId="0" borderId="0" xfId="21" applyFont="1" applyFill="1" applyAlignment="1">
      <alignment/>
    </xf>
    <xf numFmtId="0" fontId="20" fillId="0" borderId="0" xfId="0" applyFont="1" applyFill="1" applyAlignment="1">
      <alignment/>
    </xf>
    <xf numFmtId="49" fontId="0" fillId="0" borderId="1" xfId="0" applyNumberFormat="1" applyFill="1" applyBorder="1" applyAlignment="1">
      <alignment horizontal="left" indent="1"/>
    </xf>
    <xf numFmtId="49" fontId="0" fillId="0" borderId="1" xfId="0" applyNumberFormat="1" applyFill="1" applyBorder="1" applyAlignment="1">
      <alignment horizontal="left" indent="3"/>
    </xf>
    <xf numFmtId="0" fontId="0" fillId="0" borderId="0" xfId="0" applyFont="1" applyAlignment="1">
      <alignment/>
    </xf>
    <xf numFmtId="0" fontId="29" fillId="16" borderId="0" xfId="5" applyFont="1" applyFill="1" applyBorder="1" applyAlignment="1">
      <alignment/>
    </xf>
    <xf numFmtId="0" fontId="1" fillId="16" borderId="0" xfId="5" applyFont="1" applyFill="1" applyBorder="1" applyAlignment="1">
      <alignment/>
    </xf>
    <xf numFmtId="0" fontId="1" fillId="16" borderId="0" xfId="3" applyFont="1" applyFill="1" applyBorder="1" applyAlignment="1">
      <alignment/>
    </xf>
    <xf numFmtId="0" fontId="28" fillId="10" borderId="0" xfId="0" applyFont="1" applyFill="1" applyBorder="1" applyAlignment="1">
      <alignment/>
    </xf>
    <xf numFmtId="0" fontId="30" fillId="10" borderId="0" xfId="0" applyFont="1" applyFill="1" applyBorder="1" applyAlignment="1">
      <alignment/>
    </xf>
    <xf numFmtId="0" fontId="29" fillId="10" borderId="0" xfId="7" applyFont="1" applyFill="1" applyBorder="1" applyAlignment="1">
      <alignment/>
    </xf>
    <xf numFmtId="0" fontId="30" fillId="17" borderId="0" xfId="0" applyFont="1" applyFill="1" applyBorder="1" applyAlignment="1">
      <alignment/>
    </xf>
    <xf numFmtId="0" fontId="15" fillId="17" borderId="0" xfId="0" applyFont="1" applyFill="1" applyAlignment="1">
      <alignment/>
    </xf>
    <xf numFmtId="0" fontId="0" fillId="6" borderId="0" xfId="0" applyFill="1" applyAlignment="1" applyProtection="1">
      <alignment/>
      <protection/>
    </xf>
    <xf numFmtId="0" fontId="0" fillId="6" borderId="5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11" borderId="5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11" borderId="6" xfId="0" applyFill="1" applyBorder="1" applyAlignment="1">
      <alignment horizontal="center" vertical="center"/>
    </xf>
    <xf numFmtId="0" fontId="0" fillId="11" borderId="7" xfId="0" applyFill="1" applyBorder="1" applyAlignment="1">
      <alignment horizontal="center" vertical="center"/>
    </xf>
    <xf numFmtId="0" fontId="0" fillId="12" borderId="6" xfId="0" applyFill="1" applyBorder="1" applyAlignment="1">
      <alignment horizontal="center" vertical="center"/>
    </xf>
    <xf numFmtId="0" fontId="0" fillId="12" borderId="7" xfId="0" applyFill="1" applyBorder="1" applyAlignment="1">
      <alignment horizontal="center" vertical="center"/>
    </xf>
    <xf numFmtId="0" fontId="0" fillId="0" borderId="0" xfId="0" applyFont="1" applyAlignment="1" quotePrefix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0" fillId="0" borderId="0" xfId="0" applyAlignment="1" quotePrefix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5" fillId="0" borderId="0" xfId="0" applyFont="1" applyAlignment="1" quotePrefix="1">
      <alignment/>
    </xf>
    <xf numFmtId="0" fontId="33" fillId="0" borderId="0" xfId="0" applyFont="1" applyAlignment="1">
      <alignment/>
    </xf>
    <xf numFmtId="0" fontId="2" fillId="2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0" fontId="8" fillId="4" borderId="0" xfId="0" applyFont="1" applyFill="1" applyAlignment="1">
      <alignment/>
    </xf>
  </cellXfs>
  <cellStyles count="13">
    <cellStyle name="Normal" xfId="0"/>
    <cellStyle name="RowLevel_0" xfId="1"/>
    <cellStyle name="ColLevel_0" xfId="2"/>
    <cellStyle name="RowLevel_1" xfId="3"/>
    <cellStyle name="RowLevel_2" xfId="5"/>
    <cellStyle name="RowLevel_3" xfId="7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0"/>
      <c:rotY val="10"/>
      <c:depthPercent val="40"/>
      <c:rAngAx val="1"/>
    </c:view3D>
    <c:plotArea>
      <c:layout/>
      <c:bar3DChart>
        <c:barDir val="col"/>
        <c:grouping val="percentStacked"/>
        <c:varyColors val="0"/>
        <c:ser>
          <c:idx val="2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0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0"/>
        <c:shape val="box"/>
        <c:axId val="39572877"/>
        <c:axId val="65135258"/>
      </c:bar3DChart>
      <c:catAx>
        <c:axId val="39572877"/>
        <c:scaling>
          <c:orientation val="minMax"/>
        </c:scaling>
        <c:axPos val="b"/>
        <c:delete val="1"/>
        <c:majorTickMark val="out"/>
        <c:minorTickMark val="none"/>
        <c:tickLblPos val="low"/>
        <c:crossAx val="65135258"/>
        <c:crosses val="autoZero"/>
        <c:auto val="1"/>
        <c:lblOffset val="100"/>
        <c:noMultiLvlLbl val="0"/>
      </c:catAx>
      <c:valAx>
        <c:axId val="651352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57287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rotY val="10"/>
      <c:depthPercent val="40"/>
      <c:rAngAx val="1"/>
    </c:view3D>
    <c:plotArea>
      <c:layout/>
      <c:bar3DChart>
        <c:barDir val="col"/>
        <c:grouping val="percentStacked"/>
        <c:varyColors val="0"/>
        <c:ser>
          <c:idx val="3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GRAF_Patrimonio_1a5!#REF!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1"/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CFFCC"/>
              </a:solidFill>
            </c:spPr>
          </c:dPt>
          <c:dPt>
            <c:idx val="2"/>
            <c:invertIfNegative val="0"/>
            <c:spPr>
              <a:solidFill>
                <a:srgbClr val="CCFFFF"/>
              </a:solidFill>
            </c:spPr>
          </c:dPt>
          <c:dLbls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GRAF_Patrimonio_1a5!#REF!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CC99FF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GRAF_Patrimonio_1a5!#REF!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0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</c:spPr>
          </c:dPt>
          <c:dPt>
            <c:idx val="1"/>
            <c:invertIfNegative val="0"/>
            <c:spPr>
              <a:solidFill>
                <a:srgbClr val="FF9900"/>
              </a:solidFill>
            </c:spPr>
          </c:dPt>
          <c:dPt>
            <c:idx val="2"/>
            <c:invertIfNegative val="0"/>
            <c:spPr>
              <a:solidFill>
                <a:srgbClr val="9999FF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GRAF_Patrimonio_1a5!#REF!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0"/>
        <c:shape val="box"/>
        <c:axId val="28513443"/>
        <c:axId val="61598424"/>
      </c:bar3DChart>
      <c:catAx>
        <c:axId val="28513443"/>
        <c:scaling>
          <c:orientation val="minMax"/>
        </c:scaling>
        <c:axPos val="b"/>
        <c:delete val="1"/>
        <c:majorTickMark val="out"/>
        <c:minorTickMark val="none"/>
        <c:tickLblPos val="low"/>
        <c:crossAx val="61598424"/>
        <c:crosses val="autoZero"/>
        <c:auto val="1"/>
        <c:lblOffset val="100"/>
        <c:noMultiLvlLbl val="0"/>
      </c:catAx>
      <c:valAx>
        <c:axId val="615984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51344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0"/>
      <c:rotY val="10"/>
      <c:depthPercent val="40"/>
      <c:rAngAx val="1"/>
    </c:view3D>
    <c:plotArea>
      <c:layout/>
      <c:bar3DChart>
        <c:barDir val="col"/>
        <c:grouping val="percentStacked"/>
        <c:varyColors val="0"/>
        <c:ser>
          <c:idx val="2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0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0"/>
        <c:shape val="box"/>
        <c:axId val="66516345"/>
        <c:axId val="30965206"/>
      </c:bar3DChart>
      <c:catAx>
        <c:axId val="66516345"/>
        <c:scaling>
          <c:orientation val="minMax"/>
        </c:scaling>
        <c:axPos val="b"/>
        <c:delete val="1"/>
        <c:majorTickMark val="out"/>
        <c:minorTickMark val="none"/>
        <c:tickLblPos val="low"/>
        <c:crossAx val="30965206"/>
        <c:crosses val="autoZero"/>
        <c:auto val="1"/>
        <c:lblOffset val="100"/>
        <c:noMultiLvlLbl val="0"/>
      </c:catAx>
      <c:valAx>
        <c:axId val="309652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51634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rotY val="10"/>
      <c:depthPercent val="40"/>
      <c:rAngAx val="1"/>
    </c:view3D>
    <c:plotArea>
      <c:layout/>
      <c:bar3DChart>
        <c:barDir val="col"/>
        <c:grouping val="percentStacked"/>
        <c:varyColors val="0"/>
        <c:ser>
          <c:idx val="3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GRAF_Patrimonio_1a5!$H$5:$J$5</c:f>
            </c:numRef>
          </c:val>
          <c:shape val="box"/>
        </c:ser>
        <c:ser>
          <c:idx val="2"/>
          <c:order val="1"/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CFFCC"/>
              </a:solidFill>
            </c:spPr>
          </c:dPt>
          <c:dPt>
            <c:idx val="2"/>
            <c:invertIfNegative val="0"/>
            <c:spPr>
              <a:solidFill>
                <a:srgbClr val="CCFFFF"/>
              </a:solidFill>
            </c:spPr>
          </c:dPt>
          <c:dLbls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GRAF_Patrimonio_1a5!$H$4:$J$4</c:f>
            </c:numRef>
          </c:val>
          <c:shape val="box"/>
        </c:ser>
        <c:ser>
          <c:idx val="1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CC99FF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GRAF_Patrimonio_1a5!$H$3:$J$3</c:f>
            </c:numRef>
          </c:val>
          <c:shape val="box"/>
        </c:ser>
        <c:ser>
          <c:idx val="0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</c:spPr>
          </c:dPt>
          <c:dPt>
            <c:idx val="1"/>
            <c:invertIfNegative val="0"/>
            <c:spPr>
              <a:solidFill>
                <a:srgbClr val="FF99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GRAF_Patrimonio_1a5!$H$2:$J$2</c:f>
            </c:numRef>
          </c:val>
          <c:shape val="box"/>
        </c:ser>
        <c:overlap val="100"/>
        <c:gapWidth val="0"/>
        <c:shape val="box"/>
        <c:axId val="9829375"/>
        <c:axId val="62720964"/>
      </c:bar3DChart>
      <c:catAx>
        <c:axId val="9829375"/>
        <c:scaling>
          <c:orientation val="minMax"/>
        </c:scaling>
        <c:axPos val="b"/>
        <c:delete val="1"/>
        <c:majorTickMark val="out"/>
        <c:minorTickMark val="none"/>
        <c:tickLblPos val="low"/>
        <c:crossAx val="62720964"/>
        <c:crosses val="autoZero"/>
        <c:auto val="1"/>
        <c:lblOffset val="100"/>
        <c:noMultiLvlLbl val="0"/>
      </c:catAx>
      <c:valAx>
        <c:axId val="627209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82937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0"/>
      <c:rotY val="10"/>
      <c:depthPercent val="40"/>
      <c:rAngAx val="1"/>
    </c:view3D>
    <c:plotArea>
      <c:layout/>
      <c:bar3DChart>
        <c:barDir val="col"/>
        <c:grouping val="percentStacked"/>
        <c:varyColors val="0"/>
        <c:ser>
          <c:idx val="2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0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0"/>
        <c:shape val="box"/>
        <c:axId val="773557"/>
        <c:axId val="47186978"/>
      </c:bar3DChart>
      <c:catAx>
        <c:axId val="773557"/>
        <c:scaling>
          <c:orientation val="minMax"/>
        </c:scaling>
        <c:axPos val="b"/>
        <c:delete val="1"/>
        <c:majorTickMark val="out"/>
        <c:minorTickMark val="none"/>
        <c:tickLblPos val="low"/>
        <c:crossAx val="47186978"/>
        <c:crosses val="autoZero"/>
        <c:auto val="1"/>
        <c:lblOffset val="100"/>
        <c:noMultiLvlLbl val="0"/>
      </c:catAx>
      <c:valAx>
        <c:axId val="471869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7355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rotY val="10"/>
      <c:depthPercent val="40"/>
      <c:rAngAx val="1"/>
    </c:view3D>
    <c:plotArea>
      <c:layout/>
      <c:bar3DChart>
        <c:barDir val="col"/>
        <c:grouping val="percentStacked"/>
        <c:varyColors val="0"/>
        <c:ser>
          <c:idx val="3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GRAF_Patrimonio_1a5!$N$5:$P$5</c:f>
            </c:numRef>
          </c:val>
          <c:shape val="box"/>
        </c:ser>
        <c:ser>
          <c:idx val="2"/>
          <c:order val="1"/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CFFCC"/>
              </a:solidFill>
            </c:spPr>
          </c:dPt>
          <c:dPt>
            <c:idx val="2"/>
            <c:invertIfNegative val="0"/>
            <c:spPr>
              <a:solidFill>
                <a:srgbClr val="CCFFFF"/>
              </a:solidFill>
            </c:spPr>
          </c:dPt>
          <c:dLbls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GRAF_Patrimonio_1a5!$N$4:$P$4</c:f>
            </c:numRef>
          </c:val>
          <c:shape val="box"/>
        </c:ser>
        <c:ser>
          <c:idx val="1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CC99FF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GRAF_Patrimonio_1a5!$N$3:$P$3</c:f>
            </c:numRef>
          </c:val>
          <c:shape val="box"/>
        </c:ser>
        <c:ser>
          <c:idx val="0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</c:spPr>
          </c:dPt>
          <c:dPt>
            <c:idx val="1"/>
            <c:invertIfNegative val="0"/>
            <c:spPr>
              <a:solidFill>
                <a:srgbClr val="FF99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GRAF_Patrimonio_1a5!$N$2:$P$2</c:f>
            </c:numRef>
          </c:val>
          <c:shape val="box"/>
        </c:ser>
        <c:overlap val="100"/>
        <c:gapWidth val="0"/>
        <c:shape val="box"/>
        <c:axId val="59833371"/>
        <c:axId val="25956976"/>
      </c:bar3DChart>
      <c:catAx>
        <c:axId val="59833371"/>
        <c:scaling>
          <c:orientation val="minMax"/>
        </c:scaling>
        <c:axPos val="b"/>
        <c:delete val="1"/>
        <c:majorTickMark val="out"/>
        <c:minorTickMark val="none"/>
        <c:tickLblPos val="low"/>
        <c:crossAx val="25956976"/>
        <c:crosses val="autoZero"/>
        <c:auto val="1"/>
        <c:lblOffset val="100"/>
        <c:noMultiLvlLbl val="0"/>
      </c:catAx>
      <c:valAx>
        <c:axId val="259569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83337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0"/>
      <c:rotY val="10"/>
      <c:depthPercent val="40"/>
      <c:rAngAx val="1"/>
    </c:view3D>
    <c:plotArea>
      <c:layout/>
      <c:bar3DChart>
        <c:barDir val="col"/>
        <c:grouping val="percentStacked"/>
        <c:varyColors val="0"/>
        <c:ser>
          <c:idx val="2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0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0"/>
        <c:shape val="box"/>
        <c:axId val="39871665"/>
        <c:axId val="16252462"/>
      </c:bar3DChart>
      <c:catAx>
        <c:axId val="39871665"/>
        <c:scaling>
          <c:orientation val="minMax"/>
        </c:scaling>
        <c:axPos val="b"/>
        <c:delete val="1"/>
        <c:majorTickMark val="out"/>
        <c:minorTickMark val="none"/>
        <c:tickLblPos val="low"/>
        <c:crossAx val="16252462"/>
        <c:crosses val="autoZero"/>
        <c:auto val="1"/>
        <c:lblOffset val="100"/>
        <c:noMultiLvlLbl val="0"/>
      </c:catAx>
      <c:valAx>
        <c:axId val="162524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87166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rotY val="10"/>
      <c:depthPercent val="40"/>
      <c:rAngAx val="1"/>
    </c:view3D>
    <c:plotArea>
      <c:layout/>
      <c:bar3DChart>
        <c:barDir val="col"/>
        <c:grouping val="percentStacked"/>
        <c:varyColors val="0"/>
        <c:ser>
          <c:idx val="3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GRAF_Patrimonio_1a5!$T$5:$V$5</c:f>
            </c:numRef>
          </c:val>
          <c:shape val="box"/>
        </c:ser>
        <c:ser>
          <c:idx val="2"/>
          <c:order val="1"/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CFFCC"/>
              </a:solidFill>
            </c:spPr>
          </c:dPt>
          <c:dPt>
            <c:idx val="2"/>
            <c:invertIfNegative val="0"/>
            <c:spPr>
              <a:solidFill>
                <a:srgbClr val="CCFFFF"/>
              </a:solidFill>
            </c:spPr>
          </c:dPt>
          <c:dLbls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GRAF_Patrimonio_1a5!$T$4:$V$4</c:f>
            </c:numRef>
          </c:val>
          <c:shape val="box"/>
        </c:ser>
        <c:ser>
          <c:idx val="1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CC99FF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GRAF_Patrimonio_1a5!$T$3:$V$3</c:f>
            </c:numRef>
          </c:val>
          <c:shape val="box"/>
        </c:ser>
        <c:ser>
          <c:idx val="0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</c:spPr>
          </c:dPt>
          <c:dPt>
            <c:idx val="1"/>
            <c:invertIfNegative val="0"/>
            <c:spPr>
              <a:solidFill>
                <a:srgbClr val="FF99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GRAF_Patrimonio_1a5!$T$2:$V$2</c:f>
            </c:numRef>
          </c:val>
          <c:shape val="box"/>
        </c:ser>
        <c:overlap val="100"/>
        <c:gapWidth val="0"/>
        <c:shape val="box"/>
        <c:axId val="51876087"/>
        <c:axId val="10324700"/>
      </c:bar3DChart>
      <c:catAx>
        <c:axId val="51876087"/>
        <c:scaling>
          <c:orientation val="minMax"/>
        </c:scaling>
        <c:axPos val="b"/>
        <c:delete val="1"/>
        <c:majorTickMark val="out"/>
        <c:minorTickMark val="none"/>
        <c:tickLblPos val="low"/>
        <c:crossAx val="10324700"/>
        <c:crosses val="autoZero"/>
        <c:auto val="1"/>
        <c:lblOffset val="100"/>
        <c:noMultiLvlLbl val="0"/>
      </c:catAx>
      <c:valAx>
        <c:axId val="103247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87608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0"/>
      <c:rotY val="10"/>
      <c:depthPercent val="40"/>
      <c:rAngAx val="1"/>
    </c:view3D>
    <c:plotArea>
      <c:layout/>
      <c:bar3DChart>
        <c:barDir val="col"/>
        <c:grouping val="percentStacked"/>
        <c:varyColors val="0"/>
        <c:ser>
          <c:idx val="2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0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0"/>
        <c:shape val="box"/>
        <c:axId val="25826925"/>
        <c:axId val="31938554"/>
      </c:bar3DChart>
      <c:catAx>
        <c:axId val="25826925"/>
        <c:scaling>
          <c:orientation val="minMax"/>
        </c:scaling>
        <c:axPos val="b"/>
        <c:delete val="1"/>
        <c:majorTickMark val="out"/>
        <c:minorTickMark val="none"/>
        <c:tickLblPos val="low"/>
        <c:crossAx val="31938554"/>
        <c:crosses val="autoZero"/>
        <c:auto val="1"/>
        <c:lblOffset val="100"/>
        <c:noMultiLvlLbl val="0"/>
      </c:catAx>
      <c:valAx>
        <c:axId val="319385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82692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rotY val="10"/>
      <c:depthPercent val="40"/>
      <c:rAngAx val="1"/>
    </c:view3D>
    <c:plotArea>
      <c:layout/>
      <c:bar3DChart>
        <c:barDir val="col"/>
        <c:grouping val="percentStacked"/>
        <c:varyColors val="0"/>
        <c:ser>
          <c:idx val="3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GRAF_Patrimonio_1a5!$Z$5:$AB$5</c:f>
            </c:numRef>
          </c:val>
          <c:shape val="box"/>
        </c:ser>
        <c:ser>
          <c:idx val="2"/>
          <c:order val="1"/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CFFCC"/>
              </a:solidFill>
            </c:spPr>
          </c:dPt>
          <c:dPt>
            <c:idx val="2"/>
            <c:invertIfNegative val="0"/>
            <c:spPr>
              <a:solidFill>
                <a:srgbClr val="CCFFFF"/>
              </a:solidFill>
            </c:spPr>
          </c:dPt>
          <c:dLbls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GRAF_Patrimonio_1a5!$Z$4:$AB$4</c:f>
            </c:numRef>
          </c:val>
          <c:shape val="box"/>
        </c:ser>
        <c:ser>
          <c:idx val="1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CC99FF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GRAF_Patrimonio_1a5!$Z$3:$AB$3</c:f>
            </c:numRef>
          </c:val>
          <c:shape val="box"/>
        </c:ser>
        <c:ser>
          <c:idx val="0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</c:spPr>
          </c:dPt>
          <c:dPt>
            <c:idx val="1"/>
            <c:invertIfNegative val="0"/>
            <c:spPr>
              <a:solidFill>
                <a:srgbClr val="FF99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GRAF_Patrimonio_1a5!$Z$2:$AB$2</c:f>
            </c:numRef>
          </c:val>
          <c:shape val="box"/>
        </c:ser>
        <c:overlap val="100"/>
        <c:gapWidth val="0"/>
        <c:shape val="box"/>
        <c:axId val="2094739"/>
        <c:axId val="60670216"/>
      </c:bar3DChart>
      <c:catAx>
        <c:axId val="2094739"/>
        <c:scaling>
          <c:orientation val="minMax"/>
        </c:scaling>
        <c:axPos val="b"/>
        <c:delete val="1"/>
        <c:majorTickMark val="out"/>
        <c:minorTickMark val="none"/>
        <c:tickLblPos val="low"/>
        <c:crossAx val="60670216"/>
        <c:crosses val="autoZero"/>
        <c:auto val="1"/>
        <c:lblOffset val="100"/>
        <c:noMultiLvlLbl val="0"/>
      </c:catAx>
      <c:valAx>
        <c:axId val="606702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9473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0"/>
      <c:rotY val="10"/>
      <c:depthPercent val="40"/>
      <c:rAngAx val="1"/>
    </c:view3D>
    <c:plotArea>
      <c:layout/>
      <c:bar3DChart>
        <c:barDir val="col"/>
        <c:grouping val="percentStacked"/>
        <c:varyColors val="0"/>
        <c:ser>
          <c:idx val="2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0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0"/>
        <c:shape val="box"/>
        <c:axId val="9895657"/>
        <c:axId val="66764166"/>
      </c:bar3DChart>
      <c:catAx>
        <c:axId val="9895657"/>
        <c:scaling>
          <c:orientation val="minMax"/>
        </c:scaling>
        <c:axPos val="b"/>
        <c:delete val="1"/>
        <c:majorTickMark val="out"/>
        <c:minorTickMark val="none"/>
        <c:tickLblPos val="low"/>
        <c:crossAx val="66764166"/>
        <c:crosses val="autoZero"/>
        <c:auto val="1"/>
        <c:lblOffset val="100"/>
        <c:noMultiLvlLbl val="0"/>
      </c:catAx>
      <c:valAx>
        <c:axId val="667641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89565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0"/>
      <c:rotY val="10"/>
      <c:depthPercent val="40"/>
      <c:rAngAx val="1"/>
    </c:view3D>
    <c:plotArea>
      <c:layout/>
      <c:bar3DChart>
        <c:barDir val="col"/>
        <c:grouping val="percentStacked"/>
        <c:varyColors val="0"/>
        <c:ser>
          <c:idx val="2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0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0"/>
        <c:shape val="box"/>
        <c:axId val="13827763"/>
        <c:axId val="38187176"/>
      </c:bar3DChart>
      <c:catAx>
        <c:axId val="13827763"/>
        <c:scaling>
          <c:orientation val="minMax"/>
        </c:scaling>
        <c:axPos val="b"/>
        <c:delete val="1"/>
        <c:majorTickMark val="out"/>
        <c:minorTickMark val="none"/>
        <c:tickLblPos val="low"/>
        <c:crossAx val="38187176"/>
        <c:crosses val="autoZero"/>
        <c:auto val="1"/>
        <c:lblOffset val="100"/>
        <c:noMultiLvlLbl val="0"/>
      </c:catAx>
      <c:valAx>
        <c:axId val="381871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82776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rotY val="10"/>
      <c:depthPercent val="40"/>
      <c:rAngAx val="1"/>
    </c:view3D>
    <c:plotArea>
      <c:layout/>
      <c:bar3DChart>
        <c:barDir val="col"/>
        <c:grouping val="percentStacked"/>
        <c:varyColors val="0"/>
        <c:ser>
          <c:idx val="3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GRAF_Patrimonio_1a5!$AF$5:$AH$5</c:f>
            </c:numRef>
          </c:val>
          <c:shape val="box"/>
        </c:ser>
        <c:ser>
          <c:idx val="2"/>
          <c:order val="1"/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CFFCC"/>
              </a:solidFill>
            </c:spPr>
          </c:dPt>
          <c:dPt>
            <c:idx val="2"/>
            <c:invertIfNegative val="0"/>
            <c:spPr>
              <a:solidFill>
                <a:srgbClr val="CCFFFF"/>
              </a:solidFill>
            </c:spPr>
          </c:dPt>
          <c:dLbls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GRAF_Patrimonio_1a5!$AF$4:$AH$4</c:f>
            </c:numRef>
          </c:val>
          <c:shape val="box"/>
        </c:ser>
        <c:ser>
          <c:idx val="1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CC99FF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GRAF_Patrimonio_1a5!$AF$3:$AH$3</c:f>
            </c:numRef>
          </c:val>
          <c:shape val="box"/>
        </c:ser>
        <c:ser>
          <c:idx val="0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</c:spPr>
          </c:dPt>
          <c:dPt>
            <c:idx val="1"/>
            <c:invertIfNegative val="0"/>
            <c:spPr>
              <a:solidFill>
                <a:srgbClr val="FF99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GRAF_Patrimonio_1a5!$AF$2:$AH$2</c:f>
            </c:numRef>
          </c:val>
          <c:shape val="box"/>
        </c:ser>
        <c:overlap val="100"/>
        <c:gapWidth val="0"/>
        <c:shape val="box"/>
        <c:axId val="46082287"/>
        <c:axId val="59556084"/>
      </c:bar3DChart>
      <c:catAx>
        <c:axId val="46082287"/>
        <c:scaling>
          <c:orientation val="minMax"/>
        </c:scaling>
        <c:axPos val="b"/>
        <c:delete val="1"/>
        <c:majorTickMark val="out"/>
        <c:minorTickMark val="none"/>
        <c:tickLblPos val="low"/>
        <c:crossAx val="59556084"/>
        <c:crosses val="autoZero"/>
        <c:auto val="1"/>
        <c:lblOffset val="100"/>
        <c:noMultiLvlLbl val="0"/>
      </c:catAx>
      <c:valAx>
        <c:axId val="595560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08228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0"/>
      <c:rotY val="10"/>
      <c:depthPercent val="40"/>
      <c:rAngAx val="1"/>
    </c:view3D>
    <c:plotArea>
      <c:layout/>
      <c:bar3DChart>
        <c:barDir val="col"/>
        <c:grouping val="percentStacked"/>
        <c:varyColors val="0"/>
        <c:ser>
          <c:idx val="2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0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0"/>
        <c:shape val="box"/>
        <c:axId val="9042469"/>
        <c:axId val="14719698"/>
      </c:bar3DChart>
      <c:catAx>
        <c:axId val="9042469"/>
        <c:scaling>
          <c:orientation val="minMax"/>
        </c:scaling>
        <c:axPos val="b"/>
        <c:delete val="1"/>
        <c:majorTickMark val="out"/>
        <c:minorTickMark val="none"/>
        <c:tickLblPos val="low"/>
        <c:crossAx val="14719698"/>
        <c:crosses val="autoZero"/>
        <c:auto val="1"/>
        <c:lblOffset val="100"/>
        <c:noMultiLvlLbl val="0"/>
      </c:catAx>
      <c:valAx>
        <c:axId val="147196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04246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rotY val="10"/>
      <c:depthPercent val="40"/>
      <c:rAngAx val="1"/>
    </c:view3D>
    <c:plotArea>
      <c:layout>
        <c:manualLayout>
          <c:xMode val="edge"/>
          <c:yMode val="edge"/>
          <c:x val="0.01475"/>
          <c:y val="0"/>
          <c:w val="0.98525"/>
          <c:h val="1"/>
        </c:manualLayout>
      </c:layout>
      <c:bar3DChart>
        <c:barDir val="col"/>
        <c:grouping val="percentStacked"/>
        <c:varyColors val="0"/>
        <c:ser>
          <c:idx val="3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GRAF_Patrimonio_1a5!$AL$5:$AN$5</c:f>
              <c:numCache/>
            </c:numRef>
          </c:val>
          <c:shape val="box"/>
        </c:ser>
        <c:ser>
          <c:idx val="2"/>
          <c:order val="1"/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CFFCC"/>
              </a:solidFill>
            </c:spPr>
          </c:dPt>
          <c:dPt>
            <c:idx val="2"/>
            <c:invertIfNegative val="0"/>
            <c:spPr>
              <a:solidFill>
                <a:srgbClr val="CCFFFF"/>
              </a:solidFill>
            </c:spPr>
          </c:dPt>
          <c:dLbls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GRAF_Patrimonio_1a5!$AL$4:$AN$4</c:f>
              <c:numCache/>
            </c:numRef>
          </c:val>
          <c:shape val="box"/>
        </c:ser>
        <c:ser>
          <c:idx val="1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CC99FF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GRAF_Patrimonio_1a5!$AL$3:$AN$3</c:f>
              <c:numCache/>
            </c:numRef>
          </c:val>
          <c:shape val="box"/>
        </c:ser>
        <c:ser>
          <c:idx val="0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</c:spPr>
          </c:dPt>
          <c:dPt>
            <c:idx val="1"/>
            <c:invertIfNegative val="0"/>
            <c:spPr>
              <a:solidFill>
                <a:srgbClr val="FF99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GRAF_Patrimonio_1a5!$AL$2:$AN$2</c:f>
              <c:numCache/>
            </c:numRef>
          </c:val>
          <c:shape val="box"/>
        </c:ser>
        <c:overlap val="100"/>
        <c:gapWidth val="0"/>
        <c:shape val="box"/>
        <c:axId val="25486347"/>
        <c:axId val="11163296"/>
      </c:bar3DChart>
      <c:catAx>
        <c:axId val="25486347"/>
        <c:scaling>
          <c:orientation val="minMax"/>
        </c:scaling>
        <c:axPos val="b"/>
        <c:delete val="1"/>
        <c:majorTickMark val="out"/>
        <c:minorTickMark val="none"/>
        <c:tickLblPos val="low"/>
        <c:crossAx val="11163296"/>
        <c:crosses val="autoZero"/>
        <c:auto val="1"/>
        <c:lblOffset val="100"/>
        <c:noMultiLvlLbl val="0"/>
      </c:catAx>
      <c:valAx>
        <c:axId val="111632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48634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0"/>
      <c:rotY val="10"/>
      <c:depthPercent val="40"/>
      <c:rAngAx val="1"/>
    </c:view3D>
    <c:plotArea>
      <c:layout/>
      <c:bar3DChart>
        <c:barDir val="col"/>
        <c:grouping val="percentStacked"/>
        <c:varyColors val="0"/>
        <c:ser>
          <c:idx val="2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0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0"/>
        <c:shape val="box"/>
        <c:axId val="9872417"/>
        <c:axId val="65346526"/>
      </c:bar3DChart>
      <c:catAx>
        <c:axId val="9872417"/>
        <c:scaling>
          <c:orientation val="minMax"/>
        </c:scaling>
        <c:axPos val="b"/>
        <c:delete val="1"/>
        <c:majorTickMark val="out"/>
        <c:minorTickMark val="none"/>
        <c:tickLblPos val="low"/>
        <c:crossAx val="65346526"/>
        <c:crosses val="autoZero"/>
        <c:auto val="1"/>
        <c:lblOffset val="100"/>
        <c:noMultiLvlLbl val="0"/>
      </c:catAx>
      <c:valAx>
        <c:axId val="653465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87241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rotY val="10"/>
      <c:depthPercent val="40"/>
      <c:rAngAx val="1"/>
    </c:view3D>
    <c:plotArea>
      <c:layout>
        <c:manualLayout>
          <c:xMode val="edge"/>
          <c:yMode val="edge"/>
          <c:x val="0.01475"/>
          <c:y val="0"/>
          <c:w val="0.98525"/>
          <c:h val="1"/>
        </c:manualLayout>
      </c:layout>
      <c:bar3DChart>
        <c:barDir val="col"/>
        <c:grouping val="percentStacked"/>
        <c:varyColors val="0"/>
        <c:ser>
          <c:idx val="3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GRAF_Patrimonio_1a5!$AR$5:$AT$5</c:f>
              <c:numCache/>
            </c:numRef>
          </c:val>
          <c:shape val="box"/>
        </c:ser>
        <c:ser>
          <c:idx val="2"/>
          <c:order val="1"/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CFFCC"/>
              </a:solidFill>
            </c:spPr>
          </c:dPt>
          <c:dPt>
            <c:idx val="2"/>
            <c:invertIfNegative val="0"/>
            <c:spPr>
              <a:solidFill>
                <a:srgbClr val="CCFFFF"/>
              </a:solidFill>
            </c:spPr>
          </c:dPt>
          <c:dLbls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GRAF_Patrimonio_1a5!$AR$4:$AT$4</c:f>
              <c:numCache/>
            </c:numRef>
          </c:val>
          <c:shape val="box"/>
        </c:ser>
        <c:ser>
          <c:idx val="1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CC99FF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GRAF_Patrimonio_1a5!$AR$3:$AT$3</c:f>
              <c:numCache/>
            </c:numRef>
          </c:val>
          <c:shape val="box"/>
        </c:ser>
        <c:ser>
          <c:idx val="0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</c:spPr>
          </c:dPt>
          <c:dPt>
            <c:idx val="1"/>
            <c:invertIfNegative val="0"/>
            <c:spPr>
              <a:solidFill>
                <a:srgbClr val="FF99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GRAF_Patrimonio_1a5!$AR$2:$AT$2</c:f>
              <c:numCache/>
            </c:numRef>
          </c:val>
          <c:shape val="box"/>
        </c:ser>
        <c:overlap val="100"/>
        <c:gapWidth val="0"/>
        <c:shape val="box"/>
        <c:axId val="26715111"/>
        <c:axId val="19009036"/>
      </c:bar3DChart>
      <c:catAx>
        <c:axId val="26715111"/>
        <c:scaling>
          <c:orientation val="minMax"/>
        </c:scaling>
        <c:axPos val="b"/>
        <c:delete val="1"/>
        <c:majorTickMark val="out"/>
        <c:minorTickMark val="none"/>
        <c:tickLblPos val="low"/>
        <c:crossAx val="19009036"/>
        <c:crosses val="autoZero"/>
        <c:auto val="1"/>
        <c:lblOffset val="100"/>
        <c:noMultiLvlLbl val="0"/>
      </c:catAx>
      <c:valAx>
        <c:axId val="190090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71511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0"/>
      <c:rotY val="10"/>
      <c:depthPercent val="40"/>
      <c:rAngAx val="1"/>
    </c:view3D>
    <c:plotArea>
      <c:layout/>
      <c:bar3DChart>
        <c:barDir val="col"/>
        <c:grouping val="percentStacked"/>
        <c:varyColors val="0"/>
        <c:ser>
          <c:idx val="2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0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0"/>
        <c:shape val="box"/>
        <c:axId val="18700509"/>
        <c:axId val="66989226"/>
      </c:bar3DChart>
      <c:catAx>
        <c:axId val="18700509"/>
        <c:scaling>
          <c:orientation val="minMax"/>
        </c:scaling>
        <c:axPos val="b"/>
        <c:delete val="1"/>
        <c:majorTickMark val="out"/>
        <c:minorTickMark val="none"/>
        <c:tickLblPos val="low"/>
        <c:crossAx val="66989226"/>
        <c:crosses val="autoZero"/>
        <c:auto val="1"/>
        <c:lblOffset val="100"/>
        <c:noMultiLvlLbl val="0"/>
      </c:catAx>
      <c:valAx>
        <c:axId val="669892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70050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rotY val="10"/>
      <c:depthPercent val="40"/>
      <c:rAngAx val="1"/>
    </c:view3D>
    <c:plotArea>
      <c:layout>
        <c:manualLayout>
          <c:xMode val="edge"/>
          <c:yMode val="edge"/>
          <c:x val="0.01475"/>
          <c:y val="0"/>
          <c:w val="0.98525"/>
          <c:h val="1"/>
        </c:manualLayout>
      </c:layout>
      <c:bar3DChart>
        <c:barDir val="col"/>
        <c:grouping val="percentStacked"/>
        <c:varyColors val="0"/>
        <c:ser>
          <c:idx val="3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GRAF_Patrimonio_1a5!$AX$5:$AZ$5</c:f>
              <c:numCache/>
            </c:numRef>
          </c:val>
          <c:shape val="box"/>
        </c:ser>
        <c:ser>
          <c:idx val="2"/>
          <c:order val="1"/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CFFCC"/>
              </a:solidFill>
            </c:spPr>
          </c:dPt>
          <c:dPt>
            <c:idx val="2"/>
            <c:invertIfNegative val="0"/>
            <c:spPr>
              <a:solidFill>
                <a:srgbClr val="CCFFFF"/>
              </a:solidFill>
            </c:spPr>
          </c:dPt>
          <c:dLbls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GRAF_Patrimonio_1a5!$AX$4:$AZ$4</c:f>
              <c:numCache/>
            </c:numRef>
          </c:val>
          <c:shape val="box"/>
        </c:ser>
        <c:ser>
          <c:idx val="1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CC99FF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GRAF_Patrimonio_1a5!$AX$3:$AZ$3</c:f>
              <c:numCache/>
            </c:numRef>
          </c:val>
          <c:shape val="box"/>
        </c:ser>
        <c:ser>
          <c:idx val="0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</c:spPr>
          </c:dPt>
          <c:dPt>
            <c:idx val="1"/>
            <c:invertIfNegative val="0"/>
            <c:spPr>
              <a:solidFill>
                <a:srgbClr val="FF99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GRAF_Patrimonio_1a5!$AX$2:$AZ$2</c:f>
              <c:numCache/>
            </c:numRef>
          </c:val>
          <c:shape val="box"/>
        </c:ser>
        <c:overlap val="100"/>
        <c:gapWidth val="0"/>
        <c:shape val="box"/>
        <c:axId val="59810947"/>
        <c:axId val="24589112"/>
      </c:bar3DChart>
      <c:catAx>
        <c:axId val="59810947"/>
        <c:scaling>
          <c:orientation val="minMax"/>
        </c:scaling>
        <c:axPos val="b"/>
        <c:delete val="1"/>
        <c:majorTickMark val="out"/>
        <c:minorTickMark val="none"/>
        <c:tickLblPos val="low"/>
        <c:crossAx val="24589112"/>
        <c:crosses val="autoZero"/>
        <c:auto val="1"/>
        <c:lblOffset val="100"/>
        <c:noMultiLvlLbl val="0"/>
      </c:catAx>
      <c:valAx>
        <c:axId val="245891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81094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0"/>
      <c:rotY val="10"/>
      <c:depthPercent val="40"/>
      <c:rAngAx val="1"/>
    </c:view3D>
    <c:plotArea>
      <c:layout/>
      <c:bar3DChart>
        <c:barDir val="col"/>
        <c:grouping val="percentStacked"/>
        <c:varyColors val="0"/>
        <c:ser>
          <c:idx val="2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0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0"/>
        <c:shape val="box"/>
        <c:axId val="23540825"/>
        <c:axId val="26704182"/>
      </c:bar3DChart>
      <c:catAx>
        <c:axId val="23540825"/>
        <c:scaling>
          <c:orientation val="minMax"/>
        </c:scaling>
        <c:axPos val="b"/>
        <c:delete val="1"/>
        <c:majorTickMark val="out"/>
        <c:minorTickMark val="none"/>
        <c:tickLblPos val="low"/>
        <c:crossAx val="26704182"/>
        <c:crosses val="autoZero"/>
        <c:auto val="1"/>
        <c:lblOffset val="100"/>
        <c:noMultiLvlLbl val="0"/>
      </c:catAx>
      <c:valAx>
        <c:axId val="267041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54082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rotY val="10"/>
      <c:depthPercent val="40"/>
      <c:rAngAx val="1"/>
    </c:view3D>
    <c:plotArea>
      <c:layout/>
      <c:bar3DChart>
        <c:barDir val="col"/>
        <c:grouping val="percentStacked"/>
        <c:varyColors val="0"/>
        <c:ser>
          <c:idx val="3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GRAF_Patrimonio_1a5!$BD$5:$BF$5</c:f>
            </c:numRef>
          </c:val>
          <c:shape val="box"/>
        </c:ser>
        <c:ser>
          <c:idx val="2"/>
          <c:order val="1"/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CFFCC"/>
              </a:solidFill>
            </c:spPr>
          </c:dPt>
          <c:dPt>
            <c:idx val="2"/>
            <c:invertIfNegative val="0"/>
            <c:spPr>
              <a:solidFill>
                <a:srgbClr val="CCFFFF"/>
              </a:solidFill>
            </c:spPr>
          </c:dPt>
          <c:dLbls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GRAF_Patrimonio_1a5!$BD$4:$BF$4</c:f>
            </c:numRef>
          </c:val>
          <c:shape val="box"/>
        </c:ser>
        <c:ser>
          <c:idx val="1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CC99FF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GRAF_Patrimonio_1a5!$BD$3:$BF$3</c:f>
            </c:numRef>
          </c:val>
          <c:shape val="box"/>
        </c:ser>
        <c:ser>
          <c:idx val="0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</c:spPr>
          </c:dPt>
          <c:dPt>
            <c:idx val="1"/>
            <c:invertIfNegative val="0"/>
            <c:spPr>
              <a:solidFill>
                <a:srgbClr val="FF99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GRAF_Patrimonio_1a5!$BD$2:$BF$2</c:f>
            </c:numRef>
          </c:val>
          <c:shape val="box"/>
        </c:ser>
        <c:overlap val="100"/>
        <c:gapWidth val="0"/>
        <c:shape val="box"/>
        <c:axId val="18342367"/>
        <c:axId val="45142564"/>
      </c:bar3DChart>
      <c:catAx>
        <c:axId val="18342367"/>
        <c:scaling>
          <c:orientation val="minMax"/>
        </c:scaling>
        <c:axPos val="b"/>
        <c:delete val="1"/>
        <c:majorTickMark val="out"/>
        <c:minorTickMark val="none"/>
        <c:tickLblPos val="low"/>
        <c:crossAx val="45142564"/>
        <c:crosses val="autoZero"/>
        <c:auto val="1"/>
        <c:lblOffset val="100"/>
        <c:noMultiLvlLbl val="0"/>
      </c:catAx>
      <c:valAx>
        <c:axId val="451425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34236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95"/>
          <c:w val="0.97525"/>
          <c:h val="0.848"/>
        </c:manualLayout>
      </c:layout>
      <c:lineChart>
        <c:grouping val="standard"/>
        <c:varyColors val="0"/>
        <c:ser>
          <c:idx val="0"/>
          <c:order val="0"/>
          <c:tx>
            <c:v>Activo Fijo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GRAF_Patrimonio_1a5!$B$2,GRAF_Patrimonio_1a5!$H$2,GRAF_Patrimonio_1a5!$N$2,GRAF_Patrimonio_1a5!$T$2,GRAF_Patrimonio_1a5!$Z$2,GRAF_Patrimonio_1a5!$AF$2,GRAF_Patrimonio_1a5!$AL$2,GRAF_Patrimonio_1a5!$AR$2,GRAF_Patrimonio_1a5!$AX$2,GRAF_Patrimonio_1a5!$BD$2,GRAF_Patrimonio_1a5!$BJ$2)</c:f>
              <c:numCache/>
            </c:numRef>
          </c:val>
          <c:smooth val="1"/>
        </c:ser>
        <c:ser>
          <c:idx val="2"/>
          <c:order val="1"/>
          <c:tx>
            <c:v>Activo Circulante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GRAF_Patrimonio_1a5!$B$3,GRAF_Patrimonio_1a5!$H$3,GRAF_Patrimonio_1a5!$N$3,GRAF_Patrimonio_1a5!$T$3,GRAF_Patrimonio_1a5!$Z$3,GRAF_Patrimonio_1a5!$AF$3,GRAF_Patrimonio_1a5!$AL$3,GRAF_Patrimonio_1a5!$AR$3,GRAF_Patrimonio_1a5!$AX$3,GRAF_Patrimonio_1a5!$BD$3,GRAF_Patrimonio_1a5!$BJ$3)</c:f>
              <c:numCache/>
            </c:numRef>
          </c:val>
          <c:smooth val="1"/>
        </c:ser>
        <c:ser>
          <c:idx val="1"/>
          <c:order val="2"/>
          <c:tx>
            <c:v>Capital Propio</c:v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GRAF_Patrimonio_1a5!$D$2,GRAF_Patrimonio_1a5!$J$2,GRAF_Patrimonio_1a5!$P$2,GRAF_Patrimonio_1a5!$V$2,GRAF_Patrimonio_1a5!$AB$2,GRAF_Patrimonio_1a5!$AH$2,GRAF_Patrimonio_1a5!$AN$2,GRAF_Patrimonio_1a5!$AT$2,GRAF_Patrimonio_1a5!$AZ$2,GRAF_Patrimonio_1a5!$BF$2,GRAF_Patrimonio_1a5!$BL$2)</c:f>
              <c:numCache/>
            </c:numRef>
          </c:val>
          <c:smooth val="1"/>
        </c:ser>
        <c:ser>
          <c:idx val="3"/>
          <c:order val="3"/>
          <c:tx>
            <c:v>Deuda Largo Plazo</c:v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GRAF_Patrimonio_1a5!$D$3,GRAF_Patrimonio_1a5!$J$3,GRAF_Patrimonio_1a5!$P$3,GRAF_Patrimonio_1a5!$V$3,GRAF_Patrimonio_1a5!$AB$3,GRAF_Patrimonio_1a5!$AH$3,GRAF_Patrimonio_1a5!$AN$3,GRAF_Patrimonio_1a5!$AT$3,GRAF_Patrimonio_1a5!$AZ$3,GRAF_Patrimonio_1a5!$BF$3,GRAF_Patrimonio_1a5!$BL$3)</c:f>
              <c:numCache/>
            </c:numRef>
          </c:val>
          <c:smooth val="1"/>
        </c:ser>
        <c:ser>
          <c:idx val="4"/>
          <c:order val="4"/>
          <c:tx>
            <c:v>Deuda a Corto Plazo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GRAF_Patrimonio_1a5!$D$4,GRAF_Patrimonio_1a5!$J$4,GRAF_Patrimonio_1a5!$P$4,GRAF_Patrimonio_1a5!$V$4,GRAF_Patrimonio_1a5!$AB$4,GRAF_Patrimonio_1a5!$AH$4,GRAF_Patrimonio_1a5!$AN$4,GRAF_Patrimonio_1a5!$AT$4,GRAF_Patrimonio_1a5!$AZ$4,GRAF_Patrimonio_1a5!$BF$4,GRAF_Patrimonio_1a5!$BL$4)</c:f>
              <c:numCache/>
            </c:numRef>
          </c:val>
          <c:smooth val="1"/>
        </c:ser>
        <c:axId val="2232981"/>
        <c:axId val="1994114"/>
      </c:lineChart>
      <c:catAx>
        <c:axId val="2232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94114"/>
        <c:crosses val="autoZero"/>
        <c:auto val="1"/>
        <c:lblOffset val="100"/>
        <c:noMultiLvlLbl val="0"/>
      </c:catAx>
      <c:valAx>
        <c:axId val="1994114"/>
        <c:scaling>
          <c:orientation val="minMax"/>
        </c:scaling>
        <c:axPos val="l"/>
        <c:delete val="1"/>
        <c:majorTickMark val="out"/>
        <c:minorTickMark val="none"/>
        <c:tickLblPos val="nextTo"/>
        <c:crossAx val="223298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975"/>
          <c:y val="0.924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0"/>
      <c:rotY val="10"/>
      <c:depthPercent val="40"/>
      <c:rAngAx val="1"/>
    </c:view3D>
    <c:plotArea>
      <c:layout/>
      <c:bar3DChart>
        <c:barDir val="col"/>
        <c:grouping val="percentStacked"/>
        <c:varyColors val="0"/>
        <c:ser>
          <c:idx val="2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0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0"/>
        <c:shape val="box"/>
        <c:axId val="47716361"/>
        <c:axId val="25016870"/>
      </c:bar3DChart>
      <c:catAx>
        <c:axId val="47716361"/>
        <c:scaling>
          <c:orientation val="minMax"/>
        </c:scaling>
        <c:axPos val="b"/>
        <c:delete val="1"/>
        <c:majorTickMark val="out"/>
        <c:minorTickMark val="none"/>
        <c:tickLblPos val="low"/>
        <c:crossAx val="25016870"/>
        <c:crosses val="autoZero"/>
        <c:auto val="1"/>
        <c:lblOffset val="100"/>
        <c:noMultiLvlLbl val="0"/>
      </c:catAx>
      <c:valAx>
        <c:axId val="250168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71636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0"/>
      <c:rotY val="10"/>
      <c:depthPercent val="40"/>
      <c:rAngAx val="1"/>
    </c:view3D>
    <c:plotArea>
      <c:layout/>
      <c:bar3DChart>
        <c:barDir val="col"/>
        <c:grouping val="percentStacked"/>
        <c:varyColors val="0"/>
        <c:ser>
          <c:idx val="2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0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0"/>
        <c:shape val="box"/>
        <c:axId val="54532091"/>
        <c:axId val="38123216"/>
      </c:bar3DChart>
      <c:catAx>
        <c:axId val="54532091"/>
        <c:scaling>
          <c:orientation val="minMax"/>
        </c:scaling>
        <c:axPos val="b"/>
        <c:delete val="1"/>
        <c:majorTickMark val="out"/>
        <c:minorTickMark val="none"/>
        <c:tickLblPos val="low"/>
        <c:crossAx val="38123216"/>
        <c:crosses val="autoZero"/>
        <c:auto val="1"/>
        <c:lblOffset val="100"/>
        <c:noMultiLvlLbl val="0"/>
      </c:catAx>
      <c:valAx>
        <c:axId val="381232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53209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rotY val="10"/>
      <c:depthPercent val="40"/>
      <c:rAngAx val="1"/>
    </c:view3D>
    <c:plotArea>
      <c:layout/>
      <c:bar3DChart>
        <c:barDir val="col"/>
        <c:grouping val="percentStacked"/>
        <c:varyColors val="0"/>
        <c:ser>
          <c:idx val="3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GRAF_Patrimonio_1a5!$BD$5:$BF$5</c:f>
            </c:numRef>
          </c:val>
          <c:shape val="box"/>
        </c:ser>
        <c:ser>
          <c:idx val="2"/>
          <c:order val="1"/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CFFCC"/>
              </a:solidFill>
            </c:spPr>
          </c:dPt>
          <c:dPt>
            <c:idx val="2"/>
            <c:invertIfNegative val="0"/>
            <c:spPr>
              <a:solidFill>
                <a:srgbClr val="CCFFFF"/>
              </a:solidFill>
            </c:spPr>
          </c:dPt>
          <c:dLbls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GRAF_Patrimonio_1a5!$BD$4:$BF$4</c:f>
            </c:numRef>
          </c:val>
          <c:shape val="box"/>
        </c:ser>
        <c:ser>
          <c:idx val="1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CC99FF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GRAF_Patrimonio_1a5!$BD$3:$BF$3</c:f>
            </c:numRef>
          </c:val>
          <c:shape val="box"/>
        </c:ser>
        <c:ser>
          <c:idx val="0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</c:spPr>
          </c:dPt>
          <c:dPt>
            <c:idx val="1"/>
            <c:invertIfNegative val="0"/>
            <c:spPr>
              <a:solidFill>
                <a:srgbClr val="FF99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GRAF_Patrimonio_1a5!$BD$2:$BF$2</c:f>
            </c:numRef>
          </c:val>
          <c:shape val="box"/>
        </c:ser>
        <c:overlap val="100"/>
        <c:gapWidth val="0"/>
        <c:shape val="box"/>
        <c:axId val="43814801"/>
        <c:axId val="55457166"/>
      </c:bar3DChart>
      <c:catAx>
        <c:axId val="43814801"/>
        <c:scaling>
          <c:orientation val="minMax"/>
        </c:scaling>
        <c:axPos val="b"/>
        <c:delete val="1"/>
        <c:majorTickMark val="out"/>
        <c:minorTickMark val="none"/>
        <c:tickLblPos val="low"/>
        <c:crossAx val="55457166"/>
        <c:crosses val="autoZero"/>
        <c:auto val="1"/>
        <c:lblOffset val="100"/>
        <c:noMultiLvlLbl val="0"/>
      </c:catAx>
      <c:valAx>
        <c:axId val="554571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81480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2"/>
          <c:y val="0.0745"/>
          <c:w val="0.85675"/>
          <c:h val="0.851"/>
        </c:manualLayout>
      </c:layout>
      <c:lineChart>
        <c:grouping val="standard"/>
        <c:varyColors val="0"/>
        <c:ser>
          <c:idx val="0"/>
          <c:order val="0"/>
          <c:tx>
            <c:strRef>
              <c:f>GRAF_PyG_1a5!$A$2</c:f>
              <c:strCache>
                <c:ptCount val="1"/>
                <c:pt idx="0">
                  <c:v>VENTAS NETAS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GRAF_PyG_1a5!$B$1:$L$1</c:f>
              <c:strCache/>
            </c:strRef>
          </c:cat>
          <c:val>
            <c:numRef>
              <c:f>GRAF_PyG_1a5!$B$2:$L$2</c:f>
              <c:numCache/>
            </c:numRef>
          </c:val>
          <c:smooth val="0"/>
        </c:ser>
        <c:ser>
          <c:idx val="1"/>
          <c:order val="1"/>
          <c:tx>
            <c:strRef>
              <c:f>GRAF_PyG_1a5!$A$3</c:f>
              <c:strCache>
                <c:ptCount val="1"/>
                <c:pt idx="0">
                  <c:v>COSTE VARIABLE 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GRAF_PyG_1a5!$B$1:$L$1</c:f>
              <c:strCache/>
            </c:strRef>
          </c:cat>
          <c:val>
            <c:numRef>
              <c:f>GRAF_PyG_1a5!$B$3:$L$3</c:f>
              <c:numCache/>
            </c:numRef>
          </c:val>
          <c:smooth val="0"/>
        </c:ser>
        <c:ser>
          <c:idx val="2"/>
          <c:order val="2"/>
          <c:tx>
            <c:strRef>
              <c:f>GRAF_PyG_1a5!$A$4</c:f>
              <c:strCache>
                <c:ptCount val="1"/>
                <c:pt idx="0">
                  <c:v>MARGEN BRUTO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GRAF_PyG_1a5!$B$1:$L$1</c:f>
              <c:strCache/>
            </c:strRef>
          </c:cat>
          <c:val>
            <c:numRef>
              <c:f>GRAF_PyG_1a5!$B$4:$L$4</c:f>
              <c:numCache/>
            </c:numRef>
          </c:val>
          <c:smooth val="0"/>
        </c:ser>
        <c:ser>
          <c:idx val="3"/>
          <c:order val="3"/>
          <c:tx>
            <c:strRef>
              <c:f>GRAF_PyG_1a5!$A$5</c:f>
              <c:strCache>
                <c:ptCount val="1"/>
                <c:pt idx="0">
                  <c:v>TOTAL COSTE FIJO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GRAF_PyG_1a5!$B$1:$L$1</c:f>
              <c:strCache/>
            </c:strRef>
          </c:cat>
          <c:val>
            <c:numRef>
              <c:f>GRAF_PyG_1a5!$B$5:$L$5</c:f>
              <c:numCache/>
            </c:numRef>
          </c:val>
          <c:smooth val="0"/>
        </c:ser>
        <c:marker val="1"/>
        <c:axId val="27443927"/>
        <c:axId val="63466812"/>
      </c:lineChart>
      <c:catAx>
        <c:axId val="27443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466812"/>
        <c:crosses val="autoZero"/>
        <c:auto val="1"/>
        <c:lblOffset val="100"/>
        <c:noMultiLvlLbl val="0"/>
      </c:catAx>
      <c:valAx>
        <c:axId val="634668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4439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l"/>
      <c:layout>
        <c:manualLayout>
          <c:xMode val="edge"/>
          <c:yMode val="edge"/>
          <c:x val="0.00675"/>
          <c:y val="0.1045"/>
          <c:w val="0.11625"/>
          <c:h val="0.895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2"/>
          <c:y val="0.07425"/>
          <c:w val="0.85675"/>
          <c:h val="0.852"/>
        </c:manualLayout>
      </c:layout>
      <c:lineChart>
        <c:grouping val="standard"/>
        <c:varyColors val="0"/>
        <c:ser>
          <c:idx val="0"/>
          <c:order val="0"/>
          <c:tx>
            <c:strRef>
              <c:f>GRAF_PyG_1a5!$A$8</c:f>
              <c:strCache>
                <c:ptCount val="1"/>
                <c:pt idx="0">
                  <c:v>Result. Explotación (BAIT)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GRAF_PyG_1a5!$B$7:$L$7</c:f>
              <c:strCache/>
            </c:strRef>
          </c:cat>
          <c:val>
            <c:numRef>
              <c:f>GRAF_PyG_1a5!$B$8:$L$8</c:f>
              <c:numCache/>
            </c:numRef>
          </c:val>
          <c:smooth val="0"/>
        </c:ser>
        <c:ser>
          <c:idx val="1"/>
          <c:order val="1"/>
          <c:tx>
            <c:strRef>
              <c:f>GRAF_PyG_1a5!$A$9</c:f>
              <c:strCache>
                <c:ptCount val="1"/>
                <c:pt idx="0">
                  <c:v>EBIDTA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GRAF_PyG_1a5!$B$7:$L$7</c:f>
              <c:strCache/>
            </c:strRef>
          </c:cat>
          <c:val>
            <c:numRef>
              <c:f>GRAF_PyG_1a5!$B$9:$L$9</c:f>
              <c:numCache/>
            </c:numRef>
          </c:val>
          <c:smooth val="0"/>
        </c:ser>
        <c:ser>
          <c:idx val="2"/>
          <c:order val="2"/>
          <c:tx>
            <c:strRef>
              <c:f>GRAF_PyG_1a5!$A$10</c:f>
              <c:strCache>
                <c:ptCount val="1"/>
                <c:pt idx="0">
                  <c:v>Result antes taxes (BAT)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GRAF_PyG_1a5!$B$7:$L$7</c:f>
              <c:strCache/>
            </c:strRef>
          </c:cat>
          <c:val>
            <c:numRef>
              <c:f>GRAF_PyG_1a5!$B$10:$L$10</c:f>
              <c:numCache/>
            </c:numRef>
          </c:val>
          <c:smooth val="0"/>
        </c:ser>
        <c:ser>
          <c:idx val="3"/>
          <c:order val="3"/>
          <c:tx>
            <c:strRef>
              <c:f>GRAF_PyG_1a5!$A$11</c:f>
              <c:strCache>
                <c:ptCount val="1"/>
                <c:pt idx="0">
                  <c:v>Result depués taxes (BPT)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GRAF_PyG_1a5!$B$7:$L$7</c:f>
              <c:strCache/>
            </c:strRef>
          </c:cat>
          <c:val>
            <c:numRef>
              <c:f>GRAF_PyG_1a5!$B$11:$L$11</c:f>
              <c:numCache/>
            </c:numRef>
          </c:val>
          <c:smooth val="0"/>
        </c:ser>
        <c:marker val="1"/>
        <c:axId val="46270285"/>
        <c:axId val="3915098"/>
      </c:lineChart>
      <c:catAx>
        <c:axId val="46270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15098"/>
        <c:crosses val="autoZero"/>
        <c:auto val="1"/>
        <c:lblOffset val="100"/>
        <c:noMultiLvlLbl val="0"/>
      </c:catAx>
      <c:valAx>
        <c:axId val="39150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2702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l"/>
      <c:layout>
        <c:manualLayout>
          <c:xMode val="edge"/>
          <c:yMode val="edge"/>
          <c:x val="0.00675"/>
          <c:y val="0.089"/>
          <c:w val="0.11725"/>
          <c:h val="0.792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75"/>
          <c:y val="0.0735"/>
          <c:w val="0.857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GRAF_PyG_1a5!$A$14</c:f>
              <c:strCache>
                <c:ptCount val="1"/>
                <c:pt idx="0">
                  <c:v>Margen sobre ventas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GRAF_PyG_1a5!$B$13:$L$13</c:f>
              <c:strCache/>
            </c:strRef>
          </c:cat>
          <c:val>
            <c:numRef>
              <c:f>GRAF_PyG_1a5!$B$14:$L$14</c:f>
              <c:numCache/>
            </c:numRef>
          </c:val>
          <c:smooth val="0"/>
        </c:ser>
        <c:ser>
          <c:idx val="1"/>
          <c:order val="1"/>
          <c:tx>
            <c:strRef>
              <c:f>GRAF_PyG_1a5!$A$15</c:f>
              <c:strCache>
                <c:ptCount val="1"/>
                <c:pt idx="0">
                  <c:v>Margen sobre ventas (after tax)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GRAF_PyG_1a5!$B$13:$L$13</c:f>
              <c:strCache/>
            </c:strRef>
          </c:cat>
          <c:val>
            <c:numRef>
              <c:f>GRAF_PyG_1a5!$B$15:$L$15</c:f>
              <c:numCache/>
            </c:numRef>
          </c:val>
          <c:smooth val="0"/>
        </c:ser>
        <c:marker val="1"/>
        <c:axId val="37494387"/>
        <c:axId val="5456232"/>
      </c:lineChart>
      <c:catAx>
        <c:axId val="37494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56232"/>
        <c:crosses val="autoZero"/>
        <c:auto val="1"/>
        <c:lblOffset val="100"/>
        <c:noMultiLvlLbl val="0"/>
      </c:catAx>
      <c:valAx>
        <c:axId val="54562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4943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l"/>
      <c:layout>
        <c:manualLayout>
          <c:xMode val="edge"/>
          <c:yMode val="edge"/>
          <c:x val="0.00675"/>
          <c:y val="0.0955"/>
          <c:w val="0.117"/>
          <c:h val="0.7867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0"/>
      <c:rotY val="10"/>
      <c:depthPercent val="40"/>
      <c:rAngAx val="1"/>
    </c:view3D>
    <c:plotArea>
      <c:layout/>
      <c:bar3DChart>
        <c:barDir val="col"/>
        <c:grouping val="percentStacked"/>
        <c:varyColors val="0"/>
        <c:ser>
          <c:idx val="2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0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0"/>
        <c:shape val="box"/>
        <c:axId val="49634063"/>
        <c:axId val="7778964"/>
      </c:bar3DChart>
      <c:catAx>
        <c:axId val="49634063"/>
        <c:scaling>
          <c:orientation val="minMax"/>
        </c:scaling>
        <c:axPos val="b"/>
        <c:delete val="1"/>
        <c:majorTickMark val="out"/>
        <c:minorTickMark val="none"/>
        <c:tickLblPos val="low"/>
        <c:crossAx val="7778964"/>
        <c:crosses val="autoZero"/>
        <c:auto val="1"/>
        <c:lblOffset val="100"/>
        <c:noMultiLvlLbl val="0"/>
      </c:catAx>
      <c:valAx>
        <c:axId val="77789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63406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0"/>
      <c:rotY val="10"/>
      <c:depthPercent val="40"/>
      <c:rAngAx val="1"/>
    </c:view3D>
    <c:plotArea>
      <c:layout/>
      <c:bar3DChart>
        <c:barDir val="col"/>
        <c:grouping val="percentStacked"/>
        <c:varyColors val="0"/>
        <c:ser>
          <c:idx val="2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0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0"/>
        <c:shape val="box"/>
        <c:axId val="4754757"/>
        <c:axId val="21604722"/>
      </c:bar3DChart>
      <c:catAx>
        <c:axId val="4754757"/>
        <c:scaling>
          <c:orientation val="minMax"/>
        </c:scaling>
        <c:axPos val="b"/>
        <c:delete val="1"/>
        <c:majorTickMark val="out"/>
        <c:minorTickMark val="none"/>
        <c:tickLblPos val="low"/>
        <c:crossAx val="21604722"/>
        <c:crosses val="autoZero"/>
        <c:auto val="1"/>
        <c:lblOffset val="100"/>
        <c:noMultiLvlLbl val="0"/>
      </c:catAx>
      <c:valAx>
        <c:axId val="216047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5475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rotY val="10"/>
      <c:depthPercent val="40"/>
      <c:rAngAx val="1"/>
    </c:view3D>
    <c:plotArea>
      <c:layout>
        <c:manualLayout>
          <c:xMode val="edge"/>
          <c:yMode val="edge"/>
          <c:x val="0.015"/>
          <c:y val="0"/>
          <c:w val="0.985"/>
          <c:h val="1"/>
        </c:manualLayout>
      </c:layout>
      <c:bar3DChart>
        <c:barDir val="col"/>
        <c:grouping val="percentStacked"/>
        <c:varyColors val="0"/>
        <c:ser>
          <c:idx val="3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GRAF_Patrimonio_1a5!$B$5:$D$5</c:f>
              <c:numCache/>
            </c:numRef>
          </c:val>
          <c:shape val="box"/>
        </c:ser>
        <c:ser>
          <c:idx val="2"/>
          <c:order val="1"/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CFFCC"/>
              </a:solidFill>
            </c:spPr>
          </c:dPt>
          <c:dPt>
            <c:idx val="2"/>
            <c:invertIfNegative val="0"/>
            <c:spPr>
              <a:solidFill>
                <a:srgbClr val="CCFFFF"/>
              </a:solidFill>
            </c:spPr>
          </c:dPt>
          <c:dLbls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GRAF_Patrimonio_1a5!$B$4:$D$4</c:f>
              <c:numCache/>
            </c:numRef>
          </c:val>
          <c:shape val="box"/>
        </c:ser>
        <c:ser>
          <c:idx val="1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CC99FF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GRAF_Patrimonio_1a5!$B$3:$D$3</c:f>
              <c:numCache/>
            </c:numRef>
          </c:val>
          <c:shape val="box"/>
        </c:ser>
        <c:ser>
          <c:idx val="0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</c:spPr>
          </c:dPt>
          <c:dPt>
            <c:idx val="1"/>
            <c:invertIfNegative val="0"/>
            <c:spPr>
              <a:solidFill>
                <a:srgbClr val="FF99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GRAF_Patrimonio_1a5!$B$2:$D$2</c:f>
              <c:numCache/>
            </c:numRef>
          </c:val>
          <c:shape val="box"/>
        </c:ser>
        <c:overlap val="100"/>
        <c:gapWidth val="0"/>
        <c:shape val="box"/>
        <c:axId val="42819627"/>
        <c:axId val="61860416"/>
      </c:bar3DChart>
      <c:catAx>
        <c:axId val="42819627"/>
        <c:scaling>
          <c:orientation val="minMax"/>
        </c:scaling>
        <c:axPos val="b"/>
        <c:delete val="1"/>
        <c:majorTickMark val="out"/>
        <c:minorTickMark val="none"/>
        <c:tickLblPos val="low"/>
        <c:crossAx val="61860416"/>
        <c:crosses val="autoZero"/>
        <c:auto val="1"/>
        <c:lblOffset val="100"/>
        <c:noMultiLvlLbl val="0"/>
      </c:catAx>
      <c:valAx>
        <c:axId val="618604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81962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rotY val="10"/>
      <c:depthPercent val="40"/>
      <c:rAngAx val="1"/>
    </c:view3D>
    <c:plotArea>
      <c:layout/>
      <c:bar3DChart>
        <c:barDir val="col"/>
        <c:grouping val="percentStacked"/>
        <c:varyColors val="0"/>
        <c:ser>
          <c:idx val="3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GRAF_Patrimonio_1a5!$B$34:$D$34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GRAF_Patrimonio_1a5!#REF!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1"/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CFFCC"/>
              </a:solidFill>
            </c:spPr>
          </c:dPt>
          <c:dPt>
            <c:idx val="2"/>
            <c:invertIfNegative val="0"/>
            <c:spPr>
              <a:solidFill>
                <a:srgbClr val="CCFFFF"/>
              </a:solidFill>
            </c:spPr>
          </c:dPt>
          <c:dLbls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GRAF_Patrimonio_1a5!$B$34:$D$34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GRAF_Patrimonio_1a5!#REF!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CC99FF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GRAF_Patrimonio_1a5!$B$34:$D$34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GRAF_Patrimonio_1a5!#REF!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0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</c:spPr>
          </c:dPt>
          <c:dPt>
            <c:idx val="1"/>
            <c:invertIfNegative val="0"/>
            <c:spPr>
              <a:solidFill>
                <a:srgbClr val="FF99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GRAF_Patrimonio_1a5!$B$34:$D$34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GRAF_Patrimonio_1a5!#REF!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0"/>
        <c:shape val="box"/>
        <c:axId val="15388993"/>
        <c:axId val="66313342"/>
      </c:bar3DChart>
      <c:catAx>
        <c:axId val="15388993"/>
        <c:scaling>
          <c:orientation val="minMax"/>
        </c:scaling>
        <c:axPos val="b"/>
        <c:delete val="1"/>
        <c:majorTickMark val="out"/>
        <c:minorTickMark val="none"/>
        <c:tickLblPos val="low"/>
        <c:crossAx val="66313342"/>
        <c:crosses val="autoZero"/>
        <c:auto val="1"/>
        <c:lblOffset val="100"/>
        <c:noMultiLvlLbl val="0"/>
      </c:catAx>
      <c:valAx>
        <c:axId val="663133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38899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rotY val="10"/>
      <c:depthPercent val="40"/>
      <c:rAngAx val="1"/>
    </c:view3D>
    <c:plotArea>
      <c:layout/>
      <c:bar3DChart>
        <c:barDir val="col"/>
        <c:grouping val="percentStacked"/>
        <c:varyColors val="0"/>
        <c:ser>
          <c:idx val="3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GRAF_Patrimonio_1a5!#REF!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1"/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CFFCC"/>
              </a:solidFill>
            </c:spPr>
          </c:dPt>
          <c:dPt>
            <c:idx val="2"/>
            <c:invertIfNegative val="0"/>
            <c:spPr>
              <a:solidFill>
                <a:srgbClr val="CCFFFF"/>
              </a:solidFill>
            </c:spPr>
          </c:dPt>
          <c:dLbls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GRAF_Patrimonio_1a5!#REF!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CC99FF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GRAF_Patrimonio_1a5!#REF!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0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</c:spPr>
          </c:dPt>
          <c:dPt>
            <c:idx val="1"/>
            <c:invertIfNegative val="0"/>
            <c:spPr>
              <a:solidFill>
                <a:srgbClr val="FF9900"/>
              </a:solidFill>
            </c:spPr>
          </c:dPt>
          <c:dPt>
            <c:idx val="2"/>
            <c:invertIfNegative val="0"/>
            <c:spPr>
              <a:solidFill>
                <a:srgbClr val="9999FF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GRAF_Patrimonio_1a5!#REF!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0"/>
        <c:shape val="box"/>
        <c:axId val="18582023"/>
        <c:axId val="59761580"/>
      </c:bar3DChart>
      <c:catAx>
        <c:axId val="18582023"/>
        <c:scaling>
          <c:orientation val="minMax"/>
        </c:scaling>
        <c:axPos val="b"/>
        <c:delete val="1"/>
        <c:majorTickMark val="out"/>
        <c:minorTickMark val="none"/>
        <c:tickLblPos val="low"/>
        <c:crossAx val="59761580"/>
        <c:crosses val="autoZero"/>
        <c:auto val="1"/>
        <c:lblOffset val="100"/>
        <c:noMultiLvlLbl val="0"/>
      </c:catAx>
      <c:valAx>
        <c:axId val="597615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58202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rotY val="10"/>
      <c:depthPercent val="40"/>
      <c:rAngAx val="1"/>
    </c:view3D>
    <c:plotArea>
      <c:layout/>
      <c:bar3DChart>
        <c:barDir val="col"/>
        <c:grouping val="percentStacked"/>
        <c:varyColors val="0"/>
        <c:ser>
          <c:idx val="3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GRAF_Patrimonio_1a5!#REF!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1"/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CFFCC"/>
              </a:solidFill>
            </c:spPr>
          </c:dPt>
          <c:dPt>
            <c:idx val="2"/>
            <c:invertIfNegative val="0"/>
            <c:spPr>
              <a:solidFill>
                <a:srgbClr val="CCFFFF"/>
              </a:solidFill>
            </c:spPr>
          </c:dPt>
          <c:dLbls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GRAF_Patrimonio_1a5!#REF!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CC99FF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GRAF_Patrimonio_1a5!#REF!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0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</c:spPr>
          </c:dPt>
          <c:dPt>
            <c:idx val="1"/>
            <c:invertIfNegative val="0"/>
            <c:spPr>
              <a:solidFill>
                <a:srgbClr val="FF99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GRAF_Patrimonio_1a5!#REF!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0"/>
        <c:shape val="box"/>
        <c:axId val="21577725"/>
        <c:axId val="41172810"/>
      </c:bar3DChart>
      <c:catAx>
        <c:axId val="21577725"/>
        <c:scaling>
          <c:orientation val="minMax"/>
        </c:scaling>
        <c:axPos val="b"/>
        <c:delete val="1"/>
        <c:majorTickMark val="out"/>
        <c:minorTickMark val="none"/>
        <c:tickLblPos val="low"/>
        <c:crossAx val="41172810"/>
        <c:crosses val="autoZero"/>
        <c:auto val="1"/>
        <c:lblOffset val="100"/>
        <c:noMultiLvlLbl val="0"/>
      </c:catAx>
      <c:valAx>
        <c:axId val="411728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57772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chart" Target="/xl/charts/chart33.xml" /><Relationship Id="rId3" Type="http://schemas.openxmlformats.org/officeDocument/2006/relationships/chart" Target="/xl/charts/chart3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180975</xdr:colOff>
      <xdr:row>4</xdr:row>
      <xdr:rowOff>57150</xdr:rowOff>
    </xdr:from>
    <xdr:to>
      <xdr:col>14</xdr:col>
      <xdr:colOff>85725</xdr:colOff>
      <xdr:row>6</xdr:row>
      <xdr:rowOff>76200</xdr:rowOff>
    </xdr:to>
    <xdr:pic>
      <xdr:nvPicPr>
        <xdr:cNvPr id="1" name="BorrarDat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704850"/>
          <a:ext cx="11239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2257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505075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05075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2505075" y="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2505075" y="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5</xdr:row>
      <xdr:rowOff>0</xdr:rowOff>
    </xdr:from>
    <xdr:to>
      <xdr:col>4</xdr:col>
      <xdr:colOff>581025</xdr:colOff>
      <xdr:row>33</xdr:row>
      <xdr:rowOff>9525</xdr:rowOff>
    </xdr:to>
    <xdr:graphicFrame>
      <xdr:nvGraphicFramePr>
        <xdr:cNvPr id="6" name="Chart 6"/>
        <xdr:cNvGraphicFramePr/>
      </xdr:nvGraphicFramePr>
      <xdr:xfrm>
        <a:off x="0" y="809625"/>
        <a:ext cx="2257425" cy="4543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33</xdr:row>
      <xdr:rowOff>9525</xdr:rowOff>
    </xdr:to>
    <xdr:graphicFrame>
      <xdr:nvGraphicFramePr>
        <xdr:cNvPr id="7" name="Chart 7"/>
        <xdr:cNvGraphicFramePr/>
      </xdr:nvGraphicFramePr>
      <xdr:xfrm>
        <a:off x="2505075" y="809625"/>
        <a:ext cx="0" cy="45434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33</xdr:row>
      <xdr:rowOff>9525</xdr:rowOff>
    </xdr:to>
    <xdr:graphicFrame>
      <xdr:nvGraphicFramePr>
        <xdr:cNvPr id="8" name="Chart 8"/>
        <xdr:cNvGraphicFramePr/>
      </xdr:nvGraphicFramePr>
      <xdr:xfrm>
        <a:off x="2505075" y="809625"/>
        <a:ext cx="0" cy="45434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33</xdr:row>
      <xdr:rowOff>9525</xdr:rowOff>
    </xdr:to>
    <xdr:graphicFrame>
      <xdr:nvGraphicFramePr>
        <xdr:cNvPr id="9" name="Chart 9"/>
        <xdr:cNvGraphicFramePr/>
      </xdr:nvGraphicFramePr>
      <xdr:xfrm>
        <a:off x="2505075" y="809625"/>
        <a:ext cx="0" cy="45434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33</xdr:row>
      <xdr:rowOff>9525</xdr:rowOff>
    </xdr:to>
    <xdr:graphicFrame>
      <xdr:nvGraphicFramePr>
        <xdr:cNvPr id="10" name="Chart 10"/>
        <xdr:cNvGraphicFramePr/>
      </xdr:nvGraphicFramePr>
      <xdr:xfrm>
        <a:off x="2505075" y="809625"/>
        <a:ext cx="0" cy="45434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10</xdr:col>
      <xdr:colOff>581025</xdr:colOff>
      <xdr:row>0</xdr:row>
      <xdr:rowOff>0</xdr:rowOff>
    </xdr:to>
    <xdr:graphicFrame>
      <xdr:nvGraphicFramePr>
        <xdr:cNvPr id="11" name="Chart 24"/>
        <xdr:cNvGraphicFramePr/>
      </xdr:nvGraphicFramePr>
      <xdr:xfrm>
        <a:off x="2505075" y="0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6</xdr:col>
      <xdr:colOff>0</xdr:colOff>
      <xdr:row>5</xdr:row>
      <xdr:rowOff>0</xdr:rowOff>
    </xdr:from>
    <xdr:to>
      <xdr:col>10</xdr:col>
      <xdr:colOff>581025</xdr:colOff>
      <xdr:row>33</xdr:row>
      <xdr:rowOff>9525</xdr:rowOff>
    </xdr:to>
    <xdr:graphicFrame>
      <xdr:nvGraphicFramePr>
        <xdr:cNvPr id="12" name="Chart 25"/>
        <xdr:cNvGraphicFramePr/>
      </xdr:nvGraphicFramePr>
      <xdr:xfrm>
        <a:off x="2505075" y="809625"/>
        <a:ext cx="0" cy="45434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12</xdr:col>
      <xdr:colOff>0</xdr:colOff>
      <xdr:row>0</xdr:row>
      <xdr:rowOff>0</xdr:rowOff>
    </xdr:from>
    <xdr:to>
      <xdr:col>16</xdr:col>
      <xdr:colOff>581025</xdr:colOff>
      <xdr:row>0</xdr:row>
      <xdr:rowOff>0</xdr:rowOff>
    </xdr:to>
    <xdr:graphicFrame>
      <xdr:nvGraphicFramePr>
        <xdr:cNvPr id="13" name="Chart 29"/>
        <xdr:cNvGraphicFramePr/>
      </xdr:nvGraphicFramePr>
      <xdr:xfrm>
        <a:off x="2752725" y="0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0</xdr:colOff>
      <xdr:row>5</xdr:row>
      <xdr:rowOff>0</xdr:rowOff>
    </xdr:from>
    <xdr:to>
      <xdr:col>16</xdr:col>
      <xdr:colOff>581025</xdr:colOff>
      <xdr:row>33</xdr:row>
      <xdr:rowOff>9525</xdr:rowOff>
    </xdr:to>
    <xdr:graphicFrame>
      <xdr:nvGraphicFramePr>
        <xdr:cNvPr id="14" name="Chart 30"/>
        <xdr:cNvGraphicFramePr/>
      </xdr:nvGraphicFramePr>
      <xdr:xfrm>
        <a:off x="2752725" y="809625"/>
        <a:ext cx="0" cy="45434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18</xdr:col>
      <xdr:colOff>0</xdr:colOff>
      <xdr:row>0</xdr:row>
      <xdr:rowOff>0</xdr:rowOff>
    </xdr:from>
    <xdr:to>
      <xdr:col>22</xdr:col>
      <xdr:colOff>581025</xdr:colOff>
      <xdr:row>0</xdr:row>
      <xdr:rowOff>0</xdr:rowOff>
    </xdr:to>
    <xdr:graphicFrame>
      <xdr:nvGraphicFramePr>
        <xdr:cNvPr id="15" name="Chart 34"/>
        <xdr:cNvGraphicFramePr/>
      </xdr:nvGraphicFramePr>
      <xdr:xfrm>
        <a:off x="3000375" y="0"/>
        <a:ext cx="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18</xdr:col>
      <xdr:colOff>0</xdr:colOff>
      <xdr:row>5</xdr:row>
      <xdr:rowOff>0</xdr:rowOff>
    </xdr:from>
    <xdr:to>
      <xdr:col>22</xdr:col>
      <xdr:colOff>581025</xdr:colOff>
      <xdr:row>33</xdr:row>
      <xdr:rowOff>9525</xdr:rowOff>
    </xdr:to>
    <xdr:graphicFrame>
      <xdr:nvGraphicFramePr>
        <xdr:cNvPr id="16" name="Chart 35"/>
        <xdr:cNvGraphicFramePr/>
      </xdr:nvGraphicFramePr>
      <xdr:xfrm>
        <a:off x="3000375" y="809625"/>
        <a:ext cx="0" cy="45434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24</xdr:col>
      <xdr:colOff>0</xdr:colOff>
      <xdr:row>0</xdr:row>
      <xdr:rowOff>0</xdr:rowOff>
    </xdr:from>
    <xdr:to>
      <xdr:col>28</xdr:col>
      <xdr:colOff>581025</xdr:colOff>
      <xdr:row>0</xdr:row>
      <xdr:rowOff>0</xdr:rowOff>
    </xdr:to>
    <xdr:graphicFrame>
      <xdr:nvGraphicFramePr>
        <xdr:cNvPr id="17" name="Chart 39"/>
        <xdr:cNvGraphicFramePr/>
      </xdr:nvGraphicFramePr>
      <xdr:xfrm>
        <a:off x="3248025" y="0"/>
        <a:ext cx="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24</xdr:col>
      <xdr:colOff>0</xdr:colOff>
      <xdr:row>5</xdr:row>
      <xdr:rowOff>0</xdr:rowOff>
    </xdr:from>
    <xdr:to>
      <xdr:col>28</xdr:col>
      <xdr:colOff>581025</xdr:colOff>
      <xdr:row>33</xdr:row>
      <xdr:rowOff>9525</xdr:rowOff>
    </xdr:to>
    <xdr:graphicFrame>
      <xdr:nvGraphicFramePr>
        <xdr:cNvPr id="18" name="Chart 40"/>
        <xdr:cNvGraphicFramePr/>
      </xdr:nvGraphicFramePr>
      <xdr:xfrm>
        <a:off x="3248025" y="809625"/>
        <a:ext cx="0" cy="45434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30</xdr:col>
      <xdr:colOff>0</xdr:colOff>
      <xdr:row>0</xdr:row>
      <xdr:rowOff>0</xdr:rowOff>
    </xdr:from>
    <xdr:to>
      <xdr:col>34</xdr:col>
      <xdr:colOff>581025</xdr:colOff>
      <xdr:row>0</xdr:row>
      <xdr:rowOff>0</xdr:rowOff>
    </xdr:to>
    <xdr:graphicFrame>
      <xdr:nvGraphicFramePr>
        <xdr:cNvPr id="19" name="Chart 44"/>
        <xdr:cNvGraphicFramePr/>
      </xdr:nvGraphicFramePr>
      <xdr:xfrm>
        <a:off x="3495675" y="0"/>
        <a:ext cx="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30</xdr:col>
      <xdr:colOff>0</xdr:colOff>
      <xdr:row>5</xdr:row>
      <xdr:rowOff>0</xdr:rowOff>
    </xdr:from>
    <xdr:to>
      <xdr:col>34</xdr:col>
      <xdr:colOff>581025</xdr:colOff>
      <xdr:row>33</xdr:row>
      <xdr:rowOff>9525</xdr:rowOff>
    </xdr:to>
    <xdr:graphicFrame>
      <xdr:nvGraphicFramePr>
        <xdr:cNvPr id="20" name="Chart 45"/>
        <xdr:cNvGraphicFramePr/>
      </xdr:nvGraphicFramePr>
      <xdr:xfrm>
        <a:off x="3495675" y="809625"/>
        <a:ext cx="0" cy="45434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36</xdr:col>
      <xdr:colOff>0</xdr:colOff>
      <xdr:row>0</xdr:row>
      <xdr:rowOff>0</xdr:rowOff>
    </xdr:from>
    <xdr:to>
      <xdr:col>40</xdr:col>
      <xdr:colOff>581025</xdr:colOff>
      <xdr:row>0</xdr:row>
      <xdr:rowOff>0</xdr:rowOff>
    </xdr:to>
    <xdr:graphicFrame>
      <xdr:nvGraphicFramePr>
        <xdr:cNvPr id="21" name="Chart 49"/>
        <xdr:cNvGraphicFramePr/>
      </xdr:nvGraphicFramePr>
      <xdr:xfrm>
        <a:off x="3743325" y="0"/>
        <a:ext cx="2257425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36</xdr:col>
      <xdr:colOff>0</xdr:colOff>
      <xdr:row>5</xdr:row>
      <xdr:rowOff>0</xdr:rowOff>
    </xdr:from>
    <xdr:to>
      <xdr:col>40</xdr:col>
      <xdr:colOff>581025</xdr:colOff>
      <xdr:row>33</xdr:row>
      <xdr:rowOff>9525</xdr:rowOff>
    </xdr:to>
    <xdr:graphicFrame>
      <xdr:nvGraphicFramePr>
        <xdr:cNvPr id="22" name="Chart 50"/>
        <xdr:cNvGraphicFramePr/>
      </xdr:nvGraphicFramePr>
      <xdr:xfrm>
        <a:off x="3743325" y="809625"/>
        <a:ext cx="2257425" cy="45434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42</xdr:col>
      <xdr:colOff>0</xdr:colOff>
      <xdr:row>0</xdr:row>
      <xdr:rowOff>0</xdr:rowOff>
    </xdr:from>
    <xdr:to>
      <xdr:col>46</xdr:col>
      <xdr:colOff>581025</xdr:colOff>
      <xdr:row>0</xdr:row>
      <xdr:rowOff>0</xdr:rowOff>
    </xdr:to>
    <xdr:graphicFrame>
      <xdr:nvGraphicFramePr>
        <xdr:cNvPr id="23" name="Chart 54"/>
        <xdr:cNvGraphicFramePr/>
      </xdr:nvGraphicFramePr>
      <xdr:xfrm>
        <a:off x="6248400" y="0"/>
        <a:ext cx="2257425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42</xdr:col>
      <xdr:colOff>0</xdr:colOff>
      <xdr:row>5</xdr:row>
      <xdr:rowOff>0</xdr:rowOff>
    </xdr:from>
    <xdr:to>
      <xdr:col>46</xdr:col>
      <xdr:colOff>581025</xdr:colOff>
      <xdr:row>33</xdr:row>
      <xdr:rowOff>9525</xdr:rowOff>
    </xdr:to>
    <xdr:graphicFrame>
      <xdr:nvGraphicFramePr>
        <xdr:cNvPr id="24" name="Chart 55"/>
        <xdr:cNvGraphicFramePr/>
      </xdr:nvGraphicFramePr>
      <xdr:xfrm>
        <a:off x="6248400" y="809625"/>
        <a:ext cx="2257425" cy="454342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48</xdr:col>
      <xdr:colOff>0</xdr:colOff>
      <xdr:row>0</xdr:row>
      <xdr:rowOff>0</xdr:rowOff>
    </xdr:from>
    <xdr:to>
      <xdr:col>52</xdr:col>
      <xdr:colOff>581025</xdr:colOff>
      <xdr:row>0</xdr:row>
      <xdr:rowOff>0</xdr:rowOff>
    </xdr:to>
    <xdr:graphicFrame>
      <xdr:nvGraphicFramePr>
        <xdr:cNvPr id="25" name="Chart 59"/>
        <xdr:cNvGraphicFramePr/>
      </xdr:nvGraphicFramePr>
      <xdr:xfrm>
        <a:off x="8753475" y="0"/>
        <a:ext cx="2257425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48</xdr:col>
      <xdr:colOff>0</xdr:colOff>
      <xdr:row>5</xdr:row>
      <xdr:rowOff>0</xdr:rowOff>
    </xdr:from>
    <xdr:to>
      <xdr:col>52</xdr:col>
      <xdr:colOff>581025</xdr:colOff>
      <xdr:row>33</xdr:row>
      <xdr:rowOff>9525</xdr:rowOff>
    </xdr:to>
    <xdr:graphicFrame>
      <xdr:nvGraphicFramePr>
        <xdr:cNvPr id="26" name="Chart 60"/>
        <xdr:cNvGraphicFramePr/>
      </xdr:nvGraphicFramePr>
      <xdr:xfrm>
        <a:off x="8753475" y="809625"/>
        <a:ext cx="2257425" cy="45434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54</xdr:col>
      <xdr:colOff>0</xdr:colOff>
      <xdr:row>0</xdr:row>
      <xdr:rowOff>0</xdr:rowOff>
    </xdr:from>
    <xdr:to>
      <xdr:col>58</xdr:col>
      <xdr:colOff>581025</xdr:colOff>
      <xdr:row>0</xdr:row>
      <xdr:rowOff>0</xdr:rowOff>
    </xdr:to>
    <xdr:graphicFrame>
      <xdr:nvGraphicFramePr>
        <xdr:cNvPr id="27" name="Chart 64"/>
        <xdr:cNvGraphicFramePr/>
      </xdr:nvGraphicFramePr>
      <xdr:xfrm>
        <a:off x="11258550" y="0"/>
        <a:ext cx="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54</xdr:col>
      <xdr:colOff>0</xdr:colOff>
      <xdr:row>5</xdr:row>
      <xdr:rowOff>0</xdr:rowOff>
    </xdr:from>
    <xdr:to>
      <xdr:col>58</xdr:col>
      <xdr:colOff>581025</xdr:colOff>
      <xdr:row>33</xdr:row>
      <xdr:rowOff>9525</xdr:rowOff>
    </xdr:to>
    <xdr:graphicFrame>
      <xdr:nvGraphicFramePr>
        <xdr:cNvPr id="28" name="Chart 65"/>
        <xdr:cNvGraphicFramePr/>
      </xdr:nvGraphicFramePr>
      <xdr:xfrm>
        <a:off x="11258550" y="809625"/>
        <a:ext cx="0" cy="454342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57150</xdr:colOff>
      <xdr:row>5</xdr:row>
      <xdr:rowOff>57150</xdr:rowOff>
    </xdr:from>
    <xdr:to>
      <xdr:col>65</xdr:col>
      <xdr:colOff>581025</xdr:colOff>
      <xdr:row>37</xdr:row>
      <xdr:rowOff>152400</xdr:rowOff>
    </xdr:to>
    <xdr:graphicFrame>
      <xdr:nvGraphicFramePr>
        <xdr:cNvPr id="29" name="Chart 91"/>
        <xdr:cNvGraphicFramePr/>
      </xdr:nvGraphicFramePr>
      <xdr:xfrm>
        <a:off x="57150" y="866775"/>
        <a:ext cx="12030075" cy="52768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60</xdr:col>
      <xdr:colOff>0</xdr:colOff>
      <xdr:row>0</xdr:row>
      <xdr:rowOff>0</xdr:rowOff>
    </xdr:from>
    <xdr:to>
      <xdr:col>64</xdr:col>
      <xdr:colOff>581025</xdr:colOff>
      <xdr:row>0</xdr:row>
      <xdr:rowOff>0</xdr:rowOff>
    </xdr:to>
    <xdr:graphicFrame>
      <xdr:nvGraphicFramePr>
        <xdr:cNvPr id="30" name="Chart 118"/>
        <xdr:cNvGraphicFramePr/>
      </xdr:nvGraphicFramePr>
      <xdr:xfrm>
        <a:off x="11506200" y="0"/>
        <a:ext cx="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60</xdr:col>
      <xdr:colOff>0</xdr:colOff>
      <xdr:row>5</xdr:row>
      <xdr:rowOff>0</xdr:rowOff>
    </xdr:from>
    <xdr:to>
      <xdr:col>64</xdr:col>
      <xdr:colOff>581025</xdr:colOff>
      <xdr:row>33</xdr:row>
      <xdr:rowOff>9525</xdr:rowOff>
    </xdr:to>
    <xdr:graphicFrame>
      <xdr:nvGraphicFramePr>
        <xdr:cNvPr id="31" name="Chart 119"/>
        <xdr:cNvGraphicFramePr/>
      </xdr:nvGraphicFramePr>
      <xdr:xfrm>
        <a:off x="11506200" y="809625"/>
        <a:ext cx="0" cy="454342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9525</xdr:rowOff>
    </xdr:from>
    <xdr:to>
      <xdr:col>12</xdr:col>
      <xdr:colOff>0</xdr:colOff>
      <xdr:row>24</xdr:row>
      <xdr:rowOff>76200</xdr:rowOff>
    </xdr:to>
    <xdr:graphicFrame>
      <xdr:nvGraphicFramePr>
        <xdr:cNvPr id="1" name="Chart 1"/>
        <xdr:cNvGraphicFramePr/>
      </xdr:nvGraphicFramePr>
      <xdr:xfrm>
        <a:off x="0" y="2619375"/>
        <a:ext cx="8524875" cy="136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25</xdr:row>
      <xdr:rowOff>9525</xdr:rowOff>
    </xdr:from>
    <xdr:to>
      <xdr:col>12</xdr:col>
      <xdr:colOff>19050</xdr:colOff>
      <xdr:row>33</xdr:row>
      <xdr:rowOff>85725</xdr:rowOff>
    </xdr:to>
    <xdr:graphicFrame>
      <xdr:nvGraphicFramePr>
        <xdr:cNvPr id="2" name="Chart 2"/>
        <xdr:cNvGraphicFramePr/>
      </xdr:nvGraphicFramePr>
      <xdr:xfrm>
        <a:off x="9525" y="4076700"/>
        <a:ext cx="8534400" cy="137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12</xdr:col>
      <xdr:colOff>19050</xdr:colOff>
      <xdr:row>42</xdr:row>
      <xdr:rowOff>85725</xdr:rowOff>
    </xdr:to>
    <xdr:graphicFrame>
      <xdr:nvGraphicFramePr>
        <xdr:cNvPr id="3" name="Chart 3"/>
        <xdr:cNvGraphicFramePr/>
      </xdr:nvGraphicFramePr>
      <xdr:xfrm>
        <a:off x="0" y="5524500"/>
        <a:ext cx="8543925" cy="1381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466725</xdr:colOff>
      <xdr:row>7</xdr:row>
      <xdr:rowOff>38100</xdr:rowOff>
    </xdr:from>
    <xdr:to>
      <xdr:col>6</xdr:col>
      <xdr:colOff>142875</xdr:colOff>
      <xdr:row>16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3933825" y="1171575"/>
          <a:ext cx="1990725" cy="1428750"/>
        </a:xfrm>
        <a:prstGeom prst="wedgeRectCallout">
          <a:avLst>
            <a:gd name="adj1" fmla="val -79666"/>
            <a:gd name="adj2" fmla="val 61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¿Cómo financiamos los Activos de la empresa?
AF financiado a LP, parte del AC también.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CP/ AFN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, cómo se financia el AF
¿Qué parte del AF y del AC está cubierta con ELP?</a:t>
          </a:r>
        </a:p>
      </xdr:txBody>
    </xdr:sp>
    <xdr:clientData/>
  </xdr:twoCellAnchor>
  <xdr:twoCellAnchor>
    <xdr:from>
      <xdr:col>2</xdr:col>
      <xdr:colOff>409575</xdr:colOff>
      <xdr:row>28</xdr:row>
      <xdr:rowOff>76200</xdr:rowOff>
    </xdr:from>
    <xdr:to>
      <xdr:col>5</xdr:col>
      <xdr:colOff>209550</xdr:colOff>
      <xdr:row>28</xdr:row>
      <xdr:rowOff>76200</xdr:rowOff>
    </xdr:to>
    <xdr:sp>
      <xdr:nvSpPr>
        <xdr:cNvPr id="2" name="Line 2"/>
        <xdr:cNvSpPr>
          <a:spLocks/>
        </xdr:cNvSpPr>
      </xdr:nvSpPr>
      <xdr:spPr>
        <a:xfrm>
          <a:off x="2228850" y="461010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504825</xdr:colOff>
      <xdr:row>24</xdr:row>
      <xdr:rowOff>76200</xdr:rowOff>
    </xdr:from>
    <xdr:to>
      <xdr:col>7</xdr:col>
      <xdr:colOff>419100</xdr:colOff>
      <xdr:row>28</xdr:row>
      <xdr:rowOff>104775</xdr:rowOff>
    </xdr:to>
    <xdr:sp>
      <xdr:nvSpPr>
        <xdr:cNvPr id="3" name="AutoShape 3"/>
        <xdr:cNvSpPr>
          <a:spLocks/>
        </xdr:cNvSpPr>
      </xdr:nvSpPr>
      <xdr:spPr>
        <a:xfrm>
          <a:off x="5019675" y="3962400"/>
          <a:ext cx="1943100" cy="676275"/>
        </a:xfrm>
        <a:prstGeom prst="wedgeRectCallout">
          <a:avLst>
            <a:gd name="adj1" fmla="val -59935"/>
            <a:gd name="adj2" fmla="val 8098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Valor normal = 35%, si es muy alto, la empresa tiene un Activo Fijo Obsoleto, y tiene que reponerlo</a:t>
          </a:r>
        </a:p>
      </xdr:txBody>
    </xdr:sp>
    <xdr:clientData/>
  </xdr:twoCellAnchor>
  <xdr:twoCellAnchor>
    <xdr:from>
      <xdr:col>3</xdr:col>
      <xdr:colOff>609600</xdr:colOff>
      <xdr:row>34</xdr:row>
      <xdr:rowOff>76200</xdr:rowOff>
    </xdr:from>
    <xdr:to>
      <xdr:col>6</xdr:col>
      <xdr:colOff>104775</xdr:colOff>
      <xdr:row>34</xdr:row>
      <xdr:rowOff>76200</xdr:rowOff>
    </xdr:to>
    <xdr:sp>
      <xdr:nvSpPr>
        <xdr:cNvPr id="4" name="Line 4"/>
        <xdr:cNvSpPr>
          <a:spLocks/>
        </xdr:cNvSpPr>
      </xdr:nvSpPr>
      <xdr:spPr>
        <a:xfrm>
          <a:off x="2962275" y="5581650"/>
          <a:ext cx="2924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40</xdr:row>
      <xdr:rowOff>104775</xdr:rowOff>
    </xdr:from>
    <xdr:to>
      <xdr:col>5</xdr:col>
      <xdr:colOff>628650</xdr:colOff>
      <xdr:row>40</xdr:row>
      <xdr:rowOff>104775</xdr:rowOff>
    </xdr:to>
    <xdr:sp>
      <xdr:nvSpPr>
        <xdr:cNvPr id="5" name="Line 5"/>
        <xdr:cNvSpPr>
          <a:spLocks/>
        </xdr:cNvSpPr>
      </xdr:nvSpPr>
      <xdr:spPr>
        <a:xfrm>
          <a:off x="3581400" y="658177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35</xdr:row>
      <xdr:rowOff>114300</xdr:rowOff>
    </xdr:from>
    <xdr:to>
      <xdr:col>8</xdr:col>
      <xdr:colOff>485775</xdr:colOff>
      <xdr:row>40</xdr:row>
      <xdr:rowOff>47625</xdr:rowOff>
    </xdr:to>
    <xdr:sp>
      <xdr:nvSpPr>
        <xdr:cNvPr id="6" name="AutoShape 6"/>
        <xdr:cNvSpPr>
          <a:spLocks/>
        </xdr:cNvSpPr>
      </xdr:nvSpPr>
      <xdr:spPr>
        <a:xfrm>
          <a:off x="6096000" y="5781675"/>
          <a:ext cx="1695450" cy="742950"/>
        </a:xfrm>
        <a:prstGeom prst="wedgeRectCallout">
          <a:avLst>
            <a:gd name="adj1" fmla="val -72796"/>
            <a:gd name="adj2" fmla="val 51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Es el grado de garantía que una empresa ofrece a sus acreedores
1 bajo, 2 medio, 3 alto</a:t>
          </a:r>
        </a:p>
      </xdr:txBody>
    </xdr:sp>
    <xdr:clientData/>
  </xdr:twoCellAnchor>
  <xdr:twoCellAnchor>
    <xdr:from>
      <xdr:col>0</xdr:col>
      <xdr:colOff>638175</xdr:colOff>
      <xdr:row>56</xdr:row>
      <xdr:rowOff>47625</xdr:rowOff>
    </xdr:from>
    <xdr:to>
      <xdr:col>6</xdr:col>
      <xdr:colOff>104775</xdr:colOff>
      <xdr:row>56</xdr:row>
      <xdr:rowOff>47625</xdr:rowOff>
    </xdr:to>
    <xdr:sp>
      <xdr:nvSpPr>
        <xdr:cNvPr id="7" name="Line 7"/>
        <xdr:cNvSpPr>
          <a:spLocks/>
        </xdr:cNvSpPr>
      </xdr:nvSpPr>
      <xdr:spPr>
        <a:xfrm flipV="1">
          <a:off x="638175" y="9115425"/>
          <a:ext cx="524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56</xdr:row>
      <xdr:rowOff>47625</xdr:rowOff>
    </xdr:from>
    <xdr:to>
      <xdr:col>3</xdr:col>
      <xdr:colOff>466725</xdr:colOff>
      <xdr:row>64</xdr:row>
      <xdr:rowOff>152400</xdr:rowOff>
    </xdr:to>
    <xdr:sp>
      <xdr:nvSpPr>
        <xdr:cNvPr id="8" name="Line 8"/>
        <xdr:cNvSpPr>
          <a:spLocks/>
        </xdr:cNvSpPr>
      </xdr:nvSpPr>
      <xdr:spPr>
        <a:xfrm>
          <a:off x="2819400" y="9115425"/>
          <a:ext cx="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51</xdr:row>
      <xdr:rowOff>114300</xdr:rowOff>
    </xdr:from>
    <xdr:to>
      <xdr:col>9</xdr:col>
      <xdr:colOff>0</xdr:colOff>
      <xdr:row>60</xdr:row>
      <xdr:rowOff>28575</xdr:rowOff>
    </xdr:to>
    <xdr:sp>
      <xdr:nvSpPr>
        <xdr:cNvPr id="9" name="AutoShape 9"/>
        <xdr:cNvSpPr>
          <a:spLocks/>
        </xdr:cNvSpPr>
      </xdr:nvSpPr>
      <xdr:spPr>
        <a:xfrm>
          <a:off x="5886450" y="8372475"/>
          <a:ext cx="1905000" cy="1371600"/>
        </a:xfrm>
        <a:prstGeom prst="wedgeRectCallout">
          <a:avLst>
            <a:gd name="adj1" fmla="val -70500"/>
            <a:gd name="adj2" fmla="val 458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Analizamos cómo han evolucinado las fuentes de financiación (tendencia al LP o al cp, exigibilidad), y los empleos (fijo o circulante, funcionalidad). ¿Con qué fuentes se financian qué empleos? ¿cómo afecta esto al equilibrio patrimonial?</a:t>
          </a:r>
        </a:p>
      </xdr:txBody>
    </xdr:sp>
    <xdr:clientData/>
  </xdr:twoCellAnchor>
  <xdr:twoCellAnchor>
    <xdr:from>
      <xdr:col>3</xdr:col>
      <xdr:colOff>838200</xdr:colOff>
      <xdr:row>75</xdr:row>
      <xdr:rowOff>114300</xdr:rowOff>
    </xdr:from>
    <xdr:to>
      <xdr:col>4</xdr:col>
      <xdr:colOff>571500</xdr:colOff>
      <xdr:row>75</xdr:row>
      <xdr:rowOff>114300</xdr:rowOff>
    </xdr:to>
    <xdr:sp>
      <xdr:nvSpPr>
        <xdr:cNvPr id="10" name="Line 10"/>
        <xdr:cNvSpPr>
          <a:spLocks/>
        </xdr:cNvSpPr>
      </xdr:nvSpPr>
      <xdr:spPr>
        <a:xfrm>
          <a:off x="3190875" y="1225867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69</xdr:row>
      <xdr:rowOff>66675</xdr:rowOff>
    </xdr:from>
    <xdr:to>
      <xdr:col>8</xdr:col>
      <xdr:colOff>9525</xdr:colOff>
      <xdr:row>75</xdr:row>
      <xdr:rowOff>28575</xdr:rowOff>
    </xdr:to>
    <xdr:sp>
      <xdr:nvSpPr>
        <xdr:cNvPr id="11" name="AutoShape 11"/>
        <xdr:cNvSpPr>
          <a:spLocks/>
        </xdr:cNvSpPr>
      </xdr:nvSpPr>
      <xdr:spPr>
        <a:xfrm>
          <a:off x="4667250" y="11239500"/>
          <a:ext cx="2647950" cy="933450"/>
        </a:xfrm>
        <a:prstGeom prst="wedgeRectCallout">
          <a:avLst>
            <a:gd name="adj1" fmla="val -65467"/>
            <a:gd name="adj2" fmla="val 5408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Indican el grado de sobre-garantía que se le da a un acreedor a corto plazo. Los valores cercanos a 1 son peligrosos,por la posible pérdida de valor del AC, y el aumento del ecp en caso de inpuntualidad en el pago.</a:t>
          </a:r>
        </a:p>
      </xdr:txBody>
    </xdr:sp>
    <xdr:clientData/>
  </xdr:twoCellAnchor>
  <xdr:twoCellAnchor>
    <xdr:from>
      <xdr:col>1</xdr:col>
      <xdr:colOff>619125</xdr:colOff>
      <xdr:row>80</xdr:row>
      <xdr:rowOff>76200</xdr:rowOff>
    </xdr:from>
    <xdr:to>
      <xdr:col>3</xdr:col>
      <xdr:colOff>371475</xdr:colOff>
      <xdr:row>80</xdr:row>
      <xdr:rowOff>76200</xdr:rowOff>
    </xdr:to>
    <xdr:sp>
      <xdr:nvSpPr>
        <xdr:cNvPr id="12" name="Line 12"/>
        <xdr:cNvSpPr>
          <a:spLocks/>
        </xdr:cNvSpPr>
      </xdr:nvSpPr>
      <xdr:spPr>
        <a:xfrm>
          <a:off x="1381125" y="1303020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647700</xdr:colOff>
      <xdr:row>77</xdr:row>
      <xdr:rowOff>142875</xdr:rowOff>
    </xdr:from>
    <xdr:to>
      <xdr:col>6</xdr:col>
      <xdr:colOff>723900</xdr:colOff>
      <xdr:row>81</xdr:row>
      <xdr:rowOff>9525</xdr:rowOff>
    </xdr:to>
    <xdr:sp>
      <xdr:nvSpPr>
        <xdr:cNvPr id="13" name="AutoShape 13"/>
        <xdr:cNvSpPr>
          <a:spLocks/>
        </xdr:cNvSpPr>
      </xdr:nvSpPr>
      <xdr:spPr>
        <a:xfrm>
          <a:off x="4114800" y="12611100"/>
          <a:ext cx="2390775" cy="514350"/>
        </a:xfrm>
        <a:prstGeom prst="wedgeRectCallout">
          <a:avLst>
            <a:gd name="adj1" fmla="val -95504"/>
            <a:gd name="adj2" fmla="val 2856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Garantía última del acreedor, quitamos todo lo liquidable (extrafuncional, morosos, ),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0,40-0,45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son valores medios.
</a:t>
          </a:r>
        </a:p>
      </xdr:txBody>
    </xdr:sp>
    <xdr:clientData/>
  </xdr:twoCellAnchor>
  <xdr:twoCellAnchor>
    <xdr:from>
      <xdr:col>4</xdr:col>
      <xdr:colOff>581025</xdr:colOff>
      <xdr:row>95</xdr:row>
      <xdr:rowOff>85725</xdr:rowOff>
    </xdr:from>
    <xdr:to>
      <xdr:col>7</xdr:col>
      <xdr:colOff>114300</xdr:colOff>
      <xdr:row>95</xdr:row>
      <xdr:rowOff>85725</xdr:rowOff>
    </xdr:to>
    <xdr:sp>
      <xdr:nvSpPr>
        <xdr:cNvPr id="14" name="Line 14"/>
        <xdr:cNvSpPr>
          <a:spLocks/>
        </xdr:cNvSpPr>
      </xdr:nvSpPr>
      <xdr:spPr>
        <a:xfrm>
          <a:off x="4048125" y="15468600"/>
          <a:ext cx="2609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714375</xdr:colOff>
      <xdr:row>87</xdr:row>
      <xdr:rowOff>85725</xdr:rowOff>
    </xdr:from>
    <xdr:to>
      <xdr:col>5</xdr:col>
      <xdr:colOff>38100</xdr:colOff>
      <xdr:row>87</xdr:row>
      <xdr:rowOff>85725</xdr:rowOff>
    </xdr:to>
    <xdr:sp>
      <xdr:nvSpPr>
        <xdr:cNvPr id="15" name="Line 15"/>
        <xdr:cNvSpPr>
          <a:spLocks/>
        </xdr:cNvSpPr>
      </xdr:nvSpPr>
      <xdr:spPr>
        <a:xfrm>
          <a:off x="3067050" y="1417320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91</xdr:row>
      <xdr:rowOff>85725</xdr:rowOff>
    </xdr:from>
    <xdr:to>
      <xdr:col>4</xdr:col>
      <xdr:colOff>104775</xdr:colOff>
      <xdr:row>91</xdr:row>
      <xdr:rowOff>85725</xdr:rowOff>
    </xdr:to>
    <xdr:sp>
      <xdr:nvSpPr>
        <xdr:cNvPr id="16" name="Line 16"/>
        <xdr:cNvSpPr>
          <a:spLocks/>
        </xdr:cNvSpPr>
      </xdr:nvSpPr>
      <xdr:spPr>
        <a:xfrm>
          <a:off x="2152650" y="148209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638175</xdr:colOff>
      <xdr:row>99</xdr:row>
      <xdr:rowOff>66675</xdr:rowOff>
    </xdr:from>
    <xdr:to>
      <xdr:col>6</xdr:col>
      <xdr:colOff>504825</xdr:colOff>
      <xdr:row>99</xdr:row>
      <xdr:rowOff>66675</xdr:rowOff>
    </xdr:to>
    <xdr:sp>
      <xdr:nvSpPr>
        <xdr:cNvPr id="17" name="Line 17"/>
        <xdr:cNvSpPr>
          <a:spLocks/>
        </xdr:cNvSpPr>
      </xdr:nvSpPr>
      <xdr:spPr>
        <a:xfrm>
          <a:off x="2990850" y="16097250"/>
          <a:ext cx="3295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809625</xdr:colOff>
      <xdr:row>103</xdr:row>
      <xdr:rowOff>76200</xdr:rowOff>
    </xdr:from>
    <xdr:to>
      <xdr:col>7</xdr:col>
      <xdr:colOff>533400</xdr:colOff>
      <xdr:row>103</xdr:row>
      <xdr:rowOff>76200</xdr:rowOff>
    </xdr:to>
    <xdr:sp>
      <xdr:nvSpPr>
        <xdr:cNvPr id="18" name="Line 18"/>
        <xdr:cNvSpPr>
          <a:spLocks/>
        </xdr:cNvSpPr>
      </xdr:nvSpPr>
      <xdr:spPr>
        <a:xfrm>
          <a:off x="4276725" y="16754475"/>
          <a:ext cx="2800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107</xdr:row>
      <xdr:rowOff>85725</xdr:rowOff>
    </xdr:from>
    <xdr:to>
      <xdr:col>5</xdr:col>
      <xdr:colOff>200025</xdr:colOff>
      <xdr:row>107</xdr:row>
      <xdr:rowOff>85725</xdr:rowOff>
    </xdr:to>
    <xdr:sp>
      <xdr:nvSpPr>
        <xdr:cNvPr id="19" name="Line 19"/>
        <xdr:cNvSpPr>
          <a:spLocks/>
        </xdr:cNvSpPr>
      </xdr:nvSpPr>
      <xdr:spPr>
        <a:xfrm flipV="1">
          <a:off x="2228850" y="17411700"/>
          <a:ext cx="2486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112</xdr:row>
      <xdr:rowOff>114300</xdr:rowOff>
    </xdr:from>
    <xdr:to>
      <xdr:col>4</xdr:col>
      <xdr:colOff>333375</xdr:colOff>
      <xdr:row>112</xdr:row>
      <xdr:rowOff>114300</xdr:rowOff>
    </xdr:to>
    <xdr:sp>
      <xdr:nvSpPr>
        <xdr:cNvPr id="20" name="Line 20"/>
        <xdr:cNvSpPr>
          <a:spLocks/>
        </xdr:cNvSpPr>
      </xdr:nvSpPr>
      <xdr:spPr>
        <a:xfrm flipV="1">
          <a:off x="2133600" y="182499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83</xdr:row>
      <xdr:rowOff>85725</xdr:rowOff>
    </xdr:from>
    <xdr:to>
      <xdr:col>8</xdr:col>
      <xdr:colOff>66675</xdr:colOff>
      <xdr:row>87</xdr:row>
      <xdr:rowOff>123825</xdr:rowOff>
    </xdr:to>
    <xdr:sp>
      <xdr:nvSpPr>
        <xdr:cNvPr id="21" name="AutoShape 21"/>
        <xdr:cNvSpPr>
          <a:spLocks/>
        </xdr:cNvSpPr>
      </xdr:nvSpPr>
      <xdr:spPr>
        <a:xfrm>
          <a:off x="5848350" y="13525500"/>
          <a:ext cx="1524000" cy="685800"/>
        </a:xfrm>
        <a:prstGeom prst="wedgeRect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Mide la capacidad de la empresa de agilizar el proceso de paso del circulante hacia la liquidez</a:t>
          </a:r>
        </a:p>
      </xdr:txBody>
    </xdr:sp>
    <xdr:clientData/>
  </xdr:twoCellAnchor>
  <xdr:twoCellAnchor>
    <xdr:from>
      <xdr:col>6</xdr:col>
      <xdr:colOff>190500</xdr:colOff>
      <xdr:row>108</xdr:row>
      <xdr:rowOff>47625</xdr:rowOff>
    </xdr:from>
    <xdr:to>
      <xdr:col>9</xdr:col>
      <xdr:colOff>0</xdr:colOff>
      <xdr:row>115</xdr:row>
      <xdr:rowOff>114300</xdr:rowOff>
    </xdr:to>
    <xdr:sp>
      <xdr:nvSpPr>
        <xdr:cNvPr id="22" name="AutoShape 22"/>
        <xdr:cNvSpPr>
          <a:spLocks/>
        </xdr:cNvSpPr>
      </xdr:nvSpPr>
      <xdr:spPr>
        <a:xfrm>
          <a:off x="5972175" y="17535525"/>
          <a:ext cx="1819275" cy="1200150"/>
        </a:xfrm>
        <a:prstGeom prst="wedgeRectCallout">
          <a:avLst>
            <a:gd name="adj1" fmla="val -92407"/>
            <a:gd name="adj2" fmla="val -158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Estos ratios (siempre vistos de una manera dinámica) muestran el impacto sobre la tendencia  a la liquidez del circulante, de las decisiones de la empresa (COBROS Y PLAZOS DE PAGO)</a:t>
          </a:r>
        </a:p>
      </xdr:txBody>
    </xdr:sp>
    <xdr:clientData/>
  </xdr:twoCellAnchor>
  <xdr:twoCellAnchor>
    <xdr:from>
      <xdr:col>3</xdr:col>
      <xdr:colOff>714375</xdr:colOff>
      <xdr:row>119</xdr:row>
      <xdr:rowOff>85725</xdr:rowOff>
    </xdr:from>
    <xdr:to>
      <xdr:col>8</xdr:col>
      <xdr:colOff>66675</xdr:colOff>
      <xdr:row>123</xdr:row>
      <xdr:rowOff>114300</xdr:rowOff>
    </xdr:to>
    <xdr:sp>
      <xdr:nvSpPr>
        <xdr:cNvPr id="23" name="AutoShape 23"/>
        <xdr:cNvSpPr>
          <a:spLocks/>
        </xdr:cNvSpPr>
      </xdr:nvSpPr>
      <xdr:spPr>
        <a:xfrm>
          <a:off x="3067050" y="19354800"/>
          <a:ext cx="4305300" cy="676275"/>
        </a:xfrm>
        <a:prstGeom prst="wedgeRectCallout">
          <a:avLst>
            <a:gd name="adj1" fmla="val -73199"/>
            <a:gd name="adj2" fmla="val -1851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 estructura de la CR depende del sector de actividad. En un análisis dinámico permite ver la capacidad de generar valor de la empresa. También permite analizar qué actividades generan más o menos valor</a:t>
          </a:r>
        </a:p>
      </xdr:txBody>
    </xdr:sp>
    <xdr:clientData/>
  </xdr:twoCellAnchor>
  <xdr:twoCellAnchor>
    <xdr:from>
      <xdr:col>4</xdr:col>
      <xdr:colOff>333375</xdr:colOff>
      <xdr:row>125</xdr:row>
      <xdr:rowOff>85725</xdr:rowOff>
    </xdr:from>
    <xdr:to>
      <xdr:col>8</xdr:col>
      <xdr:colOff>180975</xdr:colOff>
      <xdr:row>127</xdr:row>
      <xdr:rowOff>76200</xdr:rowOff>
    </xdr:to>
    <xdr:sp>
      <xdr:nvSpPr>
        <xdr:cNvPr id="24" name="AutoShape 24"/>
        <xdr:cNvSpPr>
          <a:spLocks/>
        </xdr:cNvSpPr>
      </xdr:nvSpPr>
      <xdr:spPr>
        <a:xfrm>
          <a:off x="3800475" y="20326350"/>
          <a:ext cx="3686175" cy="314325"/>
        </a:xfrm>
        <a:prstGeom prst="wedgeRectCallout">
          <a:avLst>
            <a:gd name="adj1" fmla="val -64425"/>
            <a:gd name="adj2" fmla="val 10454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Medida económica, de l acapacidad de generar valor de la empresa</a:t>
          </a:r>
        </a:p>
      </xdr:txBody>
    </xdr:sp>
    <xdr:clientData/>
  </xdr:twoCellAnchor>
  <xdr:twoCellAnchor>
    <xdr:from>
      <xdr:col>3</xdr:col>
      <xdr:colOff>638175</xdr:colOff>
      <xdr:row>129</xdr:row>
      <xdr:rowOff>85725</xdr:rowOff>
    </xdr:from>
    <xdr:to>
      <xdr:col>7</xdr:col>
      <xdr:colOff>485775</xdr:colOff>
      <xdr:row>131</xdr:row>
      <xdr:rowOff>76200</xdr:rowOff>
    </xdr:to>
    <xdr:sp>
      <xdr:nvSpPr>
        <xdr:cNvPr id="25" name="AutoShape 25"/>
        <xdr:cNvSpPr>
          <a:spLocks/>
        </xdr:cNvSpPr>
      </xdr:nvSpPr>
      <xdr:spPr>
        <a:xfrm>
          <a:off x="2990850" y="20974050"/>
          <a:ext cx="4038600" cy="314325"/>
        </a:xfrm>
        <a:prstGeom prst="wedgeRectCallout">
          <a:avLst>
            <a:gd name="adj1" fmla="val -69212"/>
            <a:gd name="adj2" fmla="val 58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Medida financiera, de l acapacidad de gestión de la empresa</a:t>
          </a:r>
        </a:p>
      </xdr:txBody>
    </xdr:sp>
    <xdr:clientData/>
  </xdr:twoCellAnchor>
  <xdr:twoCellAnchor>
    <xdr:from>
      <xdr:col>3</xdr:col>
      <xdr:colOff>257175</xdr:colOff>
      <xdr:row>133</xdr:row>
      <xdr:rowOff>28575</xdr:rowOff>
    </xdr:from>
    <xdr:to>
      <xdr:col>5</xdr:col>
      <xdr:colOff>428625</xdr:colOff>
      <xdr:row>136</xdr:row>
      <xdr:rowOff>85725</xdr:rowOff>
    </xdr:to>
    <xdr:sp>
      <xdr:nvSpPr>
        <xdr:cNvPr id="26" name="AutoShape 26"/>
        <xdr:cNvSpPr>
          <a:spLocks/>
        </xdr:cNvSpPr>
      </xdr:nvSpPr>
      <xdr:spPr>
        <a:xfrm>
          <a:off x="2609850" y="21564600"/>
          <a:ext cx="2333625" cy="542925"/>
        </a:xfrm>
        <a:prstGeom prst="wedgeRectCallout">
          <a:avLst>
            <a:gd name="adj1" fmla="val -89106"/>
            <a:gd name="adj2" fmla="val 1140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Analizar las variables de forma dinámica y en % respecto a la cifra de Ventas</a:t>
          </a:r>
        </a:p>
      </xdr:txBody>
    </xdr:sp>
    <xdr:clientData/>
  </xdr:twoCellAnchor>
  <xdr:twoCellAnchor>
    <xdr:from>
      <xdr:col>2</xdr:col>
      <xdr:colOff>352425</xdr:colOff>
      <xdr:row>141</xdr:row>
      <xdr:rowOff>66675</xdr:rowOff>
    </xdr:from>
    <xdr:to>
      <xdr:col>4</xdr:col>
      <xdr:colOff>333375</xdr:colOff>
      <xdr:row>141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2171700" y="22898100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485775</xdr:colOff>
      <xdr:row>146</xdr:row>
      <xdr:rowOff>66675</xdr:rowOff>
    </xdr:from>
    <xdr:to>
      <xdr:col>5</xdr:col>
      <xdr:colOff>228600</xdr:colOff>
      <xdr:row>146</xdr:row>
      <xdr:rowOff>66675</xdr:rowOff>
    </xdr:to>
    <xdr:sp>
      <xdr:nvSpPr>
        <xdr:cNvPr id="28" name="Line 28"/>
        <xdr:cNvSpPr>
          <a:spLocks/>
        </xdr:cNvSpPr>
      </xdr:nvSpPr>
      <xdr:spPr>
        <a:xfrm flipV="1">
          <a:off x="1247775" y="23707725"/>
          <a:ext cx="3495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647700</xdr:colOff>
      <xdr:row>150</xdr:row>
      <xdr:rowOff>104775</xdr:rowOff>
    </xdr:from>
    <xdr:to>
      <xdr:col>2</xdr:col>
      <xdr:colOff>152400</xdr:colOff>
      <xdr:row>150</xdr:row>
      <xdr:rowOff>104775</xdr:rowOff>
    </xdr:to>
    <xdr:sp>
      <xdr:nvSpPr>
        <xdr:cNvPr id="29" name="Line 29"/>
        <xdr:cNvSpPr>
          <a:spLocks/>
        </xdr:cNvSpPr>
      </xdr:nvSpPr>
      <xdr:spPr>
        <a:xfrm>
          <a:off x="647700" y="243935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150</xdr:row>
      <xdr:rowOff>114300</xdr:rowOff>
    </xdr:from>
    <xdr:to>
      <xdr:col>4</xdr:col>
      <xdr:colOff>762000</xdr:colOff>
      <xdr:row>150</xdr:row>
      <xdr:rowOff>114300</xdr:rowOff>
    </xdr:to>
    <xdr:sp>
      <xdr:nvSpPr>
        <xdr:cNvPr id="30" name="Line 30"/>
        <xdr:cNvSpPr>
          <a:spLocks/>
        </xdr:cNvSpPr>
      </xdr:nvSpPr>
      <xdr:spPr>
        <a:xfrm>
          <a:off x="2352675" y="2440305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219075</xdr:colOff>
      <xdr:row>150</xdr:row>
      <xdr:rowOff>28575</xdr:rowOff>
    </xdr:from>
    <xdr:to>
      <xdr:col>2</xdr:col>
      <xdr:colOff>409575</xdr:colOff>
      <xdr:row>151</xdr:row>
      <xdr:rowOff>104775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2038350" y="24317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5</xdr:col>
      <xdr:colOff>447675</xdr:colOff>
      <xdr:row>150</xdr:row>
      <xdr:rowOff>9525</xdr:rowOff>
    </xdr:from>
    <xdr:to>
      <xdr:col>5</xdr:col>
      <xdr:colOff>638175</xdr:colOff>
      <xdr:row>151</xdr:row>
      <xdr:rowOff>85725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4962525" y="2429827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8</xdr:col>
      <xdr:colOff>466725</xdr:colOff>
      <xdr:row>147</xdr:row>
      <xdr:rowOff>28575</xdr:rowOff>
    </xdr:from>
    <xdr:to>
      <xdr:col>10</xdr:col>
      <xdr:colOff>457200</xdr:colOff>
      <xdr:row>153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7772400" y="23831550"/>
          <a:ext cx="1238250" cy="942975"/>
        </a:xfrm>
        <a:prstGeom prst="wedgeRectCallout">
          <a:avLst>
            <a:gd name="adj1" fmla="val -97421"/>
            <a:gd name="adj2" fmla="val 657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¿Cómo aumentar el ROA? Aumentando el margen unitario o aumentando la rotación total</a:t>
          </a:r>
        </a:p>
      </xdr:txBody>
    </xdr:sp>
    <xdr:clientData/>
  </xdr:twoCellAnchor>
  <xdr:twoCellAnchor>
    <xdr:from>
      <xdr:col>4</xdr:col>
      <xdr:colOff>47625</xdr:colOff>
      <xdr:row>156</xdr:row>
      <xdr:rowOff>76200</xdr:rowOff>
    </xdr:from>
    <xdr:to>
      <xdr:col>4</xdr:col>
      <xdr:colOff>685800</xdr:colOff>
      <xdr:row>156</xdr:row>
      <xdr:rowOff>76200</xdr:rowOff>
    </xdr:to>
    <xdr:sp>
      <xdr:nvSpPr>
        <xdr:cNvPr id="34" name="Line 34"/>
        <xdr:cNvSpPr>
          <a:spLocks/>
        </xdr:cNvSpPr>
      </xdr:nvSpPr>
      <xdr:spPr>
        <a:xfrm>
          <a:off x="3514725" y="2533650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168</xdr:row>
      <xdr:rowOff>152400</xdr:rowOff>
    </xdr:from>
    <xdr:to>
      <xdr:col>0</xdr:col>
      <xdr:colOff>695325</xdr:colOff>
      <xdr:row>170</xdr:row>
      <xdr:rowOff>66675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504825" y="2735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2</xdr:col>
      <xdr:colOff>85725</xdr:colOff>
      <xdr:row>169</xdr:row>
      <xdr:rowOff>9525</xdr:rowOff>
    </xdr:from>
    <xdr:to>
      <xdr:col>2</xdr:col>
      <xdr:colOff>276225</xdr:colOff>
      <xdr:row>170</xdr:row>
      <xdr:rowOff>85725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1905000" y="2737485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3</xdr:col>
      <xdr:colOff>0</xdr:colOff>
      <xdr:row>169</xdr:row>
      <xdr:rowOff>104775</xdr:rowOff>
    </xdr:from>
    <xdr:to>
      <xdr:col>3</xdr:col>
      <xdr:colOff>752475</xdr:colOff>
      <xdr:row>169</xdr:row>
      <xdr:rowOff>104775</xdr:rowOff>
    </xdr:to>
    <xdr:sp>
      <xdr:nvSpPr>
        <xdr:cNvPr id="37" name="Line 37"/>
        <xdr:cNvSpPr>
          <a:spLocks/>
        </xdr:cNvSpPr>
      </xdr:nvSpPr>
      <xdr:spPr>
        <a:xfrm>
          <a:off x="2352675" y="2747010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169</xdr:row>
      <xdr:rowOff>9525</xdr:rowOff>
    </xdr:from>
    <xdr:to>
      <xdr:col>4</xdr:col>
      <xdr:colOff>457200</xdr:colOff>
      <xdr:row>170</xdr:row>
      <xdr:rowOff>85725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3733800" y="2737485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5</xdr:col>
      <xdr:colOff>0</xdr:colOff>
      <xdr:row>169</xdr:row>
      <xdr:rowOff>104775</xdr:rowOff>
    </xdr:from>
    <xdr:to>
      <xdr:col>5</xdr:col>
      <xdr:colOff>752475</xdr:colOff>
      <xdr:row>169</xdr:row>
      <xdr:rowOff>104775</xdr:rowOff>
    </xdr:to>
    <xdr:sp>
      <xdr:nvSpPr>
        <xdr:cNvPr id="39" name="Line 39"/>
        <xdr:cNvSpPr>
          <a:spLocks/>
        </xdr:cNvSpPr>
      </xdr:nvSpPr>
      <xdr:spPr>
        <a:xfrm>
          <a:off x="4514850" y="2747010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169</xdr:row>
      <xdr:rowOff>9525</xdr:rowOff>
    </xdr:from>
    <xdr:to>
      <xdr:col>6</xdr:col>
      <xdr:colOff>561975</xdr:colOff>
      <xdr:row>170</xdr:row>
      <xdr:rowOff>85725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153150" y="2737485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7</xdr:col>
      <xdr:colOff>0</xdr:colOff>
      <xdr:row>169</xdr:row>
      <xdr:rowOff>104775</xdr:rowOff>
    </xdr:from>
    <xdr:to>
      <xdr:col>7</xdr:col>
      <xdr:colOff>752475</xdr:colOff>
      <xdr:row>169</xdr:row>
      <xdr:rowOff>104775</xdr:rowOff>
    </xdr:to>
    <xdr:sp>
      <xdr:nvSpPr>
        <xdr:cNvPr id="41" name="Line 41"/>
        <xdr:cNvSpPr>
          <a:spLocks/>
        </xdr:cNvSpPr>
      </xdr:nvSpPr>
      <xdr:spPr>
        <a:xfrm>
          <a:off x="6543675" y="2747010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173</xdr:row>
      <xdr:rowOff>104775</xdr:rowOff>
    </xdr:from>
    <xdr:to>
      <xdr:col>3</xdr:col>
      <xdr:colOff>752475</xdr:colOff>
      <xdr:row>177</xdr:row>
      <xdr:rowOff>85725</xdr:rowOff>
    </xdr:to>
    <xdr:sp>
      <xdr:nvSpPr>
        <xdr:cNvPr id="42" name="AutoShape 42"/>
        <xdr:cNvSpPr>
          <a:spLocks/>
        </xdr:cNvSpPr>
      </xdr:nvSpPr>
      <xdr:spPr>
        <a:xfrm>
          <a:off x="1304925" y="28117800"/>
          <a:ext cx="1800225" cy="628650"/>
        </a:xfrm>
        <a:prstGeom prst="wedgeRectCallout">
          <a:avLst>
            <a:gd name="adj1" fmla="val 20666"/>
            <a:gd name="adj2" fmla="val -11212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Expresa el nivel de endeudamiento de la empresa. Amplifica el ROA, efecto multiplicador</a:t>
          </a:r>
        </a:p>
      </xdr:txBody>
    </xdr:sp>
    <xdr:clientData/>
  </xdr:twoCellAnchor>
  <xdr:twoCellAnchor>
    <xdr:from>
      <xdr:col>4</xdr:col>
      <xdr:colOff>342900</xdr:colOff>
      <xdr:row>174</xdr:row>
      <xdr:rowOff>0</xdr:rowOff>
    </xdr:from>
    <xdr:to>
      <xdr:col>6</xdr:col>
      <xdr:colOff>238125</xdr:colOff>
      <xdr:row>178</xdr:row>
      <xdr:rowOff>142875</xdr:rowOff>
    </xdr:to>
    <xdr:sp>
      <xdr:nvSpPr>
        <xdr:cNvPr id="43" name="AutoShape 43"/>
        <xdr:cNvSpPr>
          <a:spLocks/>
        </xdr:cNvSpPr>
      </xdr:nvSpPr>
      <xdr:spPr>
        <a:xfrm>
          <a:off x="3810000" y="28174950"/>
          <a:ext cx="2209800" cy="790575"/>
        </a:xfrm>
        <a:prstGeom prst="wedgeRectCallout">
          <a:avLst>
            <a:gd name="adj1" fmla="val 14000"/>
            <a:gd name="adj2" fmla="val -11024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Expresa la influencia de los gastos financieros. Afecta de manera negativa al ROA</a:t>
          </a:r>
        </a:p>
      </xdr:txBody>
    </xdr:sp>
    <xdr:clientData/>
  </xdr:twoCellAnchor>
  <xdr:twoCellAnchor>
    <xdr:from>
      <xdr:col>6</xdr:col>
      <xdr:colOff>676275</xdr:colOff>
      <xdr:row>173</xdr:row>
      <xdr:rowOff>142875</xdr:rowOff>
    </xdr:from>
    <xdr:to>
      <xdr:col>9</xdr:col>
      <xdr:colOff>95250</xdr:colOff>
      <xdr:row>177</xdr:row>
      <xdr:rowOff>76200</xdr:rowOff>
    </xdr:to>
    <xdr:sp>
      <xdr:nvSpPr>
        <xdr:cNvPr id="44" name="AutoShape 44"/>
        <xdr:cNvSpPr>
          <a:spLocks/>
        </xdr:cNvSpPr>
      </xdr:nvSpPr>
      <xdr:spPr>
        <a:xfrm>
          <a:off x="6457950" y="28155900"/>
          <a:ext cx="1428750" cy="581025"/>
        </a:xfrm>
        <a:prstGeom prst="wedgeRectCallout">
          <a:avLst>
            <a:gd name="adj1" fmla="val 4666"/>
            <a:gd name="adj2" fmla="val -14344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Expresa la influencia de los impuestos. Afecta de manera negativa al ROA</a:t>
          </a:r>
        </a:p>
      </xdr:txBody>
    </xdr:sp>
    <xdr:clientData/>
  </xdr:twoCellAnchor>
  <xdr:twoCellAnchor>
    <xdr:from>
      <xdr:col>0</xdr:col>
      <xdr:colOff>180975</xdr:colOff>
      <xdr:row>174</xdr:row>
      <xdr:rowOff>142875</xdr:rowOff>
    </xdr:from>
    <xdr:to>
      <xdr:col>1</xdr:col>
      <xdr:colOff>381000</xdr:colOff>
      <xdr:row>179</xdr:row>
      <xdr:rowOff>38100</xdr:rowOff>
    </xdr:to>
    <xdr:sp>
      <xdr:nvSpPr>
        <xdr:cNvPr id="45" name="AutoShape 45"/>
        <xdr:cNvSpPr>
          <a:spLocks/>
        </xdr:cNvSpPr>
      </xdr:nvSpPr>
      <xdr:spPr>
        <a:xfrm>
          <a:off x="180975" y="28317825"/>
          <a:ext cx="962025" cy="704850"/>
        </a:xfrm>
        <a:prstGeom prst="wedgeRectCallout">
          <a:avLst>
            <a:gd name="adj1" fmla="val 31189"/>
            <a:gd name="adj2" fmla="val -14189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Grado de competencia económica de la empresa</a:t>
          </a:r>
        </a:p>
      </xdr:txBody>
    </xdr:sp>
    <xdr:clientData/>
  </xdr:twoCellAnchor>
  <xdr:twoCellAnchor>
    <xdr:from>
      <xdr:col>5</xdr:col>
      <xdr:colOff>733425</xdr:colOff>
      <xdr:row>183</xdr:row>
      <xdr:rowOff>9525</xdr:rowOff>
    </xdr:from>
    <xdr:to>
      <xdr:col>7</xdr:col>
      <xdr:colOff>161925</xdr:colOff>
      <xdr:row>186</xdr:row>
      <xdr:rowOff>38100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5248275" y="29641800"/>
          <a:ext cx="14573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CUADRO DE MOVIMIENTO DE STOCKS</a:t>
          </a:r>
        </a:p>
      </xdr:txBody>
    </xdr:sp>
    <xdr:clientData/>
  </xdr:twoCellAnchor>
  <xdr:twoCellAnchor>
    <xdr:from>
      <xdr:col>5</xdr:col>
      <xdr:colOff>752475</xdr:colOff>
      <xdr:row>189</xdr:row>
      <xdr:rowOff>114300</xdr:rowOff>
    </xdr:from>
    <xdr:to>
      <xdr:col>7</xdr:col>
      <xdr:colOff>180975</xdr:colOff>
      <xdr:row>192</xdr:row>
      <xdr:rowOff>142875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5267325" y="30718125"/>
          <a:ext cx="14573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CUADRO DE MOVIMIENTO DE CLIENTES</a:t>
          </a:r>
        </a:p>
      </xdr:txBody>
    </xdr:sp>
    <xdr:clientData/>
  </xdr:twoCellAnchor>
  <xdr:twoCellAnchor>
    <xdr:from>
      <xdr:col>9</xdr:col>
      <xdr:colOff>333375</xdr:colOff>
      <xdr:row>183</xdr:row>
      <xdr:rowOff>9525</xdr:rowOff>
    </xdr:from>
    <xdr:to>
      <xdr:col>10</xdr:col>
      <xdr:colOff>647700</xdr:colOff>
      <xdr:row>186</xdr:row>
      <xdr:rowOff>66675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8124825" y="29641800"/>
          <a:ext cx="1076325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CUADRO DE MOVIMIENTO DE PROVEEDORES</a:t>
          </a:r>
        </a:p>
      </xdr:txBody>
    </xdr:sp>
    <xdr:clientData/>
  </xdr:twoCellAnchor>
  <xdr:twoCellAnchor>
    <xdr:from>
      <xdr:col>9</xdr:col>
      <xdr:colOff>447675</xdr:colOff>
      <xdr:row>190</xdr:row>
      <xdr:rowOff>28575</xdr:rowOff>
    </xdr:from>
    <xdr:to>
      <xdr:col>10</xdr:col>
      <xdr:colOff>638175</xdr:colOff>
      <xdr:row>193</xdr:row>
      <xdr:rowOff>57150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8239125" y="30794325"/>
          <a:ext cx="9525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CUADRO DE MOVIMIENTO DE IVA</a:t>
          </a:r>
        </a:p>
      </xdr:txBody>
    </xdr:sp>
    <xdr:clientData/>
  </xdr:twoCellAnchor>
  <xdr:twoCellAnchor>
    <xdr:from>
      <xdr:col>4</xdr:col>
      <xdr:colOff>371475</xdr:colOff>
      <xdr:row>184</xdr:row>
      <xdr:rowOff>114300</xdr:rowOff>
    </xdr:from>
    <xdr:to>
      <xdr:col>5</xdr:col>
      <xdr:colOff>647700</xdr:colOff>
      <xdr:row>188</xdr:row>
      <xdr:rowOff>85725</xdr:rowOff>
    </xdr:to>
    <xdr:sp>
      <xdr:nvSpPr>
        <xdr:cNvPr id="50" name="Line 50"/>
        <xdr:cNvSpPr>
          <a:spLocks/>
        </xdr:cNvSpPr>
      </xdr:nvSpPr>
      <xdr:spPr>
        <a:xfrm flipV="1">
          <a:off x="3838575" y="29908500"/>
          <a:ext cx="132397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381000</xdr:colOff>
      <xdr:row>188</xdr:row>
      <xdr:rowOff>114300</xdr:rowOff>
    </xdr:from>
    <xdr:to>
      <xdr:col>5</xdr:col>
      <xdr:colOff>676275</xdr:colOff>
      <xdr:row>191</xdr:row>
      <xdr:rowOff>47625</xdr:rowOff>
    </xdr:to>
    <xdr:sp>
      <xdr:nvSpPr>
        <xdr:cNvPr id="51" name="Line 51"/>
        <xdr:cNvSpPr>
          <a:spLocks/>
        </xdr:cNvSpPr>
      </xdr:nvSpPr>
      <xdr:spPr>
        <a:xfrm>
          <a:off x="3848100" y="30556200"/>
          <a:ext cx="13430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184</xdr:row>
      <xdr:rowOff>85725</xdr:rowOff>
    </xdr:from>
    <xdr:to>
      <xdr:col>9</xdr:col>
      <xdr:colOff>238125</xdr:colOff>
      <xdr:row>184</xdr:row>
      <xdr:rowOff>85725</xdr:rowOff>
    </xdr:to>
    <xdr:sp>
      <xdr:nvSpPr>
        <xdr:cNvPr id="52" name="Line 52"/>
        <xdr:cNvSpPr>
          <a:spLocks/>
        </xdr:cNvSpPr>
      </xdr:nvSpPr>
      <xdr:spPr>
        <a:xfrm flipV="1">
          <a:off x="6781800" y="29879925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191</xdr:row>
      <xdr:rowOff>85725</xdr:rowOff>
    </xdr:from>
    <xdr:to>
      <xdr:col>9</xdr:col>
      <xdr:colOff>390525</xdr:colOff>
      <xdr:row>191</xdr:row>
      <xdr:rowOff>85725</xdr:rowOff>
    </xdr:to>
    <xdr:sp>
      <xdr:nvSpPr>
        <xdr:cNvPr id="53" name="Line 53"/>
        <xdr:cNvSpPr>
          <a:spLocks/>
        </xdr:cNvSpPr>
      </xdr:nvSpPr>
      <xdr:spPr>
        <a:xfrm>
          <a:off x="6810375" y="3101340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186</xdr:row>
      <xdr:rowOff>142875</xdr:rowOff>
    </xdr:from>
    <xdr:to>
      <xdr:col>10</xdr:col>
      <xdr:colOff>152400</xdr:colOff>
      <xdr:row>189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8705850" y="302609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371475</xdr:colOff>
      <xdr:row>183</xdr:row>
      <xdr:rowOff>152400</xdr:rowOff>
    </xdr:from>
    <xdr:to>
      <xdr:col>9</xdr:col>
      <xdr:colOff>9525</xdr:colOff>
      <xdr:row>185</xdr:row>
      <xdr:rowOff>19050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6915150" y="29784675"/>
          <a:ext cx="8858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COMPRAS</a:t>
          </a:r>
        </a:p>
      </xdr:txBody>
    </xdr:sp>
    <xdr:clientData/>
  </xdr:twoCellAnchor>
  <xdr:twoCellAnchor>
    <xdr:from>
      <xdr:col>7</xdr:col>
      <xdr:colOff>342900</xdr:colOff>
      <xdr:row>191</xdr:row>
      <xdr:rowOff>28575</xdr:rowOff>
    </xdr:from>
    <xdr:to>
      <xdr:col>9</xdr:col>
      <xdr:colOff>276225</xdr:colOff>
      <xdr:row>192</xdr:row>
      <xdr:rowOff>57150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6886575" y="30956250"/>
          <a:ext cx="1181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IVA REPERCUTIDO</a:t>
          </a:r>
        </a:p>
      </xdr:txBody>
    </xdr:sp>
    <xdr:clientData/>
  </xdr:twoCellAnchor>
  <xdr:twoCellAnchor>
    <xdr:from>
      <xdr:col>9</xdr:col>
      <xdr:colOff>314325</xdr:colOff>
      <xdr:row>187</xdr:row>
      <xdr:rowOff>47625</xdr:rowOff>
    </xdr:from>
    <xdr:to>
      <xdr:col>10</xdr:col>
      <xdr:colOff>733425</xdr:colOff>
      <xdr:row>188</xdr:row>
      <xdr:rowOff>76200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8105775" y="30327600"/>
          <a:ext cx="1181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IVA SOPORTADO</a:t>
          </a:r>
        </a:p>
      </xdr:txBody>
    </xdr:sp>
    <xdr:clientData/>
  </xdr:twoCellAnchor>
  <xdr:twoCellAnchor>
    <xdr:from>
      <xdr:col>2</xdr:col>
      <xdr:colOff>28575</xdr:colOff>
      <xdr:row>188</xdr:row>
      <xdr:rowOff>104775</xdr:rowOff>
    </xdr:from>
    <xdr:to>
      <xdr:col>2</xdr:col>
      <xdr:colOff>409575</xdr:colOff>
      <xdr:row>188</xdr:row>
      <xdr:rowOff>152400</xdr:rowOff>
    </xdr:to>
    <xdr:sp>
      <xdr:nvSpPr>
        <xdr:cNvPr id="58" name="Line 58"/>
        <xdr:cNvSpPr>
          <a:spLocks/>
        </xdr:cNvSpPr>
      </xdr:nvSpPr>
      <xdr:spPr>
        <a:xfrm flipV="1">
          <a:off x="1847850" y="30546675"/>
          <a:ext cx="3810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752475</xdr:colOff>
      <xdr:row>194</xdr:row>
      <xdr:rowOff>123825</xdr:rowOff>
    </xdr:from>
    <xdr:to>
      <xdr:col>10</xdr:col>
      <xdr:colOff>676275</xdr:colOff>
      <xdr:row>195</xdr:row>
      <xdr:rowOff>38100</xdr:rowOff>
    </xdr:to>
    <xdr:sp>
      <xdr:nvSpPr>
        <xdr:cNvPr id="59" name="AutoShape 59"/>
        <xdr:cNvSpPr>
          <a:spLocks/>
        </xdr:cNvSpPr>
      </xdr:nvSpPr>
      <xdr:spPr>
        <a:xfrm rot="5400000">
          <a:off x="5267325" y="31537275"/>
          <a:ext cx="3962400" cy="76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189</xdr:row>
      <xdr:rowOff>123825</xdr:rowOff>
    </xdr:from>
    <xdr:to>
      <xdr:col>6</xdr:col>
      <xdr:colOff>647700</xdr:colOff>
      <xdr:row>200</xdr:row>
      <xdr:rowOff>142875</xdr:rowOff>
    </xdr:to>
    <xdr:sp>
      <xdr:nvSpPr>
        <xdr:cNvPr id="60" name="Line 60"/>
        <xdr:cNvSpPr>
          <a:spLocks/>
        </xdr:cNvSpPr>
      </xdr:nvSpPr>
      <xdr:spPr>
        <a:xfrm>
          <a:off x="1866900" y="30727650"/>
          <a:ext cx="4562475" cy="1800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191</xdr:row>
      <xdr:rowOff>47625</xdr:rowOff>
    </xdr:from>
    <xdr:to>
      <xdr:col>4</xdr:col>
      <xdr:colOff>266700</xdr:colOff>
      <xdr:row>194</xdr:row>
      <xdr:rowOff>104775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2619375" y="30975300"/>
          <a:ext cx="1114425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GASTOS E INGRESOS PREVISTOS</a:t>
          </a:r>
        </a:p>
      </xdr:txBody>
    </xdr:sp>
    <xdr:clientData/>
  </xdr:twoCellAnchor>
  <xdr:twoCellAnchor>
    <xdr:from>
      <xdr:col>8</xdr:col>
      <xdr:colOff>142875</xdr:colOff>
      <xdr:row>197</xdr:row>
      <xdr:rowOff>0</xdr:rowOff>
    </xdr:from>
    <xdr:to>
      <xdr:col>8</xdr:col>
      <xdr:colOff>142875</xdr:colOff>
      <xdr:row>200</xdr:row>
      <xdr:rowOff>114300</xdr:rowOff>
    </xdr:to>
    <xdr:sp>
      <xdr:nvSpPr>
        <xdr:cNvPr id="62" name="Line 62"/>
        <xdr:cNvSpPr>
          <a:spLocks/>
        </xdr:cNvSpPr>
      </xdr:nvSpPr>
      <xdr:spPr>
        <a:xfrm>
          <a:off x="7448550" y="3189922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198</xdr:row>
      <xdr:rowOff>9525</xdr:rowOff>
    </xdr:from>
    <xdr:to>
      <xdr:col>6</xdr:col>
      <xdr:colOff>571500</xdr:colOff>
      <xdr:row>201</xdr:row>
      <xdr:rowOff>85725</xdr:rowOff>
    </xdr:to>
    <xdr:sp>
      <xdr:nvSpPr>
        <xdr:cNvPr id="63" name="Line 63"/>
        <xdr:cNvSpPr>
          <a:spLocks/>
        </xdr:cNvSpPr>
      </xdr:nvSpPr>
      <xdr:spPr>
        <a:xfrm>
          <a:off x="1971675" y="32070675"/>
          <a:ext cx="43815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198</xdr:row>
      <xdr:rowOff>66675</xdr:rowOff>
    </xdr:from>
    <xdr:to>
      <xdr:col>5</xdr:col>
      <xdr:colOff>114300</xdr:colOff>
      <xdr:row>201</xdr:row>
      <xdr:rowOff>114300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2771775" y="32127825"/>
          <a:ext cx="185737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COBROS Y PAGOS DE VARIACIONES PATRIMONIALES</a:t>
          </a:r>
        </a:p>
      </xdr:txBody>
    </xdr:sp>
    <xdr:clientData/>
  </xdr:twoCellAnchor>
  <xdr:twoCellAnchor>
    <xdr:from>
      <xdr:col>0</xdr:col>
      <xdr:colOff>238125</xdr:colOff>
      <xdr:row>219</xdr:row>
      <xdr:rowOff>9525</xdr:rowOff>
    </xdr:from>
    <xdr:to>
      <xdr:col>2</xdr:col>
      <xdr:colOff>390525</xdr:colOff>
      <xdr:row>227</xdr:row>
      <xdr:rowOff>28575</xdr:rowOff>
    </xdr:to>
    <xdr:sp>
      <xdr:nvSpPr>
        <xdr:cNvPr id="65" name="AutoShape 65"/>
        <xdr:cNvSpPr>
          <a:spLocks/>
        </xdr:cNvSpPr>
      </xdr:nvSpPr>
      <xdr:spPr>
        <a:xfrm>
          <a:off x="238125" y="35471100"/>
          <a:ext cx="1971675" cy="1314450"/>
        </a:xfrm>
        <a:prstGeom prst="wedgeRectCallout">
          <a:avLst>
            <a:gd name="adj1" fmla="val 80300"/>
            <a:gd name="adj2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Permite comparar las performances financiera y económica de la empresa. Plantea problemas en la política del circulante (todo aquello que genere desfases entre la dimensión económica y la financiera)</a:t>
          </a:r>
        </a:p>
      </xdr:txBody>
    </xdr:sp>
    <xdr:clientData/>
  </xdr:twoCellAnchor>
  <xdr:twoCellAnchor>
    <xdr:from>
      <xdr:col>2</xdr:col>
      <xdr:colOff>180975</xdr:colOff>
      <xdr:row>233</xdr:row>
      <xdr:rowOff>66675</xdr:rowOff>
    </xdr:from>
    <xdr:to>
      <xdr:col>4</xdr:col>
      <xdr:colOff>733425</xdr:colOff>
      <xdr:row>236</xdr:row>
      <xdr:rowOff>0</xdr:rowOff>
    </xdr:to>
    <xdr:sp>
      <xdr:nvSpPr>
        <xdr:cNvPr id="66" name="AutoShape 66"/>
        <xdr:cNvSpPr>
          <a:spLocks/>
        </xdr:cNvSpPr>
      </xdr:nvSpPr>
      <xdr:spPr>
        <a:xfrm>
          <a:off x="2000250" y="37795200"/>
          <a:ext cx="2200275" cy="419100"/>
        </a:xfrm>
        <a:prstGeom prst="wedgeRectCallout">
          <a:avLst>
            <a:gd name="adj1" fmla="val 1148"/>
            <a:gd name="adj2" fmla="val -16470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Determinamos en qué parcelas se está realizando un mayor esfuerzo inversor.</a:t>
          </a:r>
        </a:p>
      </xdr:txBody>
    </xdr:sp>
    <xdr:clientData/>
  </xdr:twoCellAnchor>
  <xdr:twoCellAnchor>
    <xdr:from>
      <xdr:col>5</xdr:col>
      <xdr:colOff>609600</xdr:colOff>
      <xdr:row>238</xdr:row>
      <xdr:rowOff>123825</xdr:rowOff>
    </xdr:from>
    <xdr:to>
      <xdr:col>6</xdr:col>
      <xdr:colOff>466725</xdr:colOff>
      <xdr:row>242</xdr:row>
      <xdr:rowOff>0</xdr:rowOff>
    </xdr:to>
    <xdr:sp>
      <xdr:nvSpPr>
        <xdr:cNvPr id="67" name="AutoShape 67"/>
        <xdr:cNvSpPr>
          <a:spLocks/>
        </xdr:cNvSpPr>
      </xdr:nvSpPr>
      <xdr:spPr>
        <a:xfrm>
          <a:off x="5124450" y="38661975"/>
          <a:ext cx="1123950" cy="523875"/>
        </a:xfrm>
        <a:prstGeom prst="wedgeRectCallout">
          <a:avLst>
            <a:gd name="adj1" fmla="val -89324"/>
            <a:gd name="adj2" fmla="val 404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¿De qué políticas o estrategias emanan esas necesidades?</a:t>
          </a:r>
        </a:p>
      </xdr:txBody>
    </xdr:sp>
    <xdr:clientData/>
  </xdr:twoCellAnchor>
  <xdr:twoCellAnchor>
    <xdr:from>
      <xdr:col>5</xdr:col>
      <xdr:colOff>9525</xdr:colOff>
      <xdr:row>246</xdr:row>
      <xdr:rowOff>123825</xdr:rowOff>
    </xdr:from>
    <xdr:to>
      <xdr:col>8</xdr:col>
      <xdr:colOff>28575</xdr:colOff>
      <xdr:row>246</xdr:row>
      <xdr:rowOff>123825</xdr:rowOff>
    </xdr:to>
    <xdr:sp>
      <xdr:nvSpPr>
        <xdr:cNvPr id="68" name="Line 68"/>
        <xdr:cNvSpPr>
          <a:spLocks/>
        </xdr:cNvSpPr>
      </xdr:nvSpPr>
      <xdr:spPr>
        <a:xfrm>
          <a:off x="4524375" y="39957375"/>
          <a:ext cx="2809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251</xdr:row>
      <xdr:rowOff>104775</xdr:rowOff>
    </xdr:from>
    <xdr:to>
      <xdr:col>4</xdr:col>
      <xdr:colOff>723900</xdr:colOff>
      <xdr:row>251</xdr:row>
      <xdr:rowOff>104775</xdr:rowOff>
    </xdr:to>
    <xdr:sp>
      <xdr:nvSpPr>
        <xdr:cNvPr id="69" name="Line 69"/>
        <xdr:cNvSpPr>
          <a:spLocks/>
        </xdr:cNvSpPr>
      </xdr:nvSpPr>
      <xdr:spPr>
        <a:xfrm flipV="1">
          <a:off x="3467100" y="407765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249</xdr:row>
      <xdr:rowOff>104775</xdr:rowOff>
    </xdr:from>
    <xdr:to>
      <xdr:col>4</xdr:col>
      <xdr:colOff>723900</xdr:colOff>
      <xdr:row>249</xdr:row>
      <xdr:rowOff>104775</xdr:rowOff>
    </xdr:to>
    <xdr:sp>
      <xdr:nvSpPr>
        <xdr:cNvPr id="70" name="Line 70"/>
        <xdr:cNvSpPr>
          <a:spLocks/>
        </xdr:cNvSpPr>
      </xdr:nvSpPr>
      <xdr:spPr>
        <a:xfrm flipV="1">
          <a:off x="3467100" y="404241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254</xdr:row>
      <xdr:rowOff>114300</xdr:rowOff>
    </xdr:from>
    <xdr:to>
      <xdr:col>9</xdr:col>
      <xdr:colOff>733425</xdr:colOff>
      <xdr:row>254</xdr:row>
      <xdr:rowOff>114300</xdr:rowOff>
    </xdr:to>
    <xdr:sp>
      <xdr:nvSpPr>
        <xdr:cNvPr id="71" name="Line 71"/>
        <xdr:cNvSpPr>
          <a:spLocks/>
        </xdr:cNvSpPr>
      </xdr:nvSpPr>
      <xdr:spPr>
        <a:xfrm>
          <a:off x="7800975" y="413004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885825</xdr:colOff>
      <xdr:row>62</xdr:row>
      <xdr:rowOff>9525</xdr:rowOff>
    </xdr:from>
    <xdr:to>
      <xdr:col>7</xdr:col>
      <xdr:colOff>571500</xdr:colOff>
      <xdr:row>68</xdr:row>
      <xdr:rowOff>28575</xdr:rowOff>
    </xdr:to>
    <xdr:sp>
      <xdr:nvSpPr>
        <xdr:cNvPr id="72" name="AutoShape 72"/>
        <xdr:cNvSpPr>
          <a:spLocks/>
        </xdr:cNvSpPr>
      </xdr:nvSpPr>
      <xdr:spPr>
        <a:xfrm>
          <a:off x="5400675" y="10048875"/>
          <a:ext cx="1714500" cy="990600"/>
        </a:xfrm>
        <a:prstGeom prst="wedgeRectCallout">
          <a:avLst>
            <a:gd name="adj1" fmla="val -112777"/>
            <a:gd name="adj2" fmla="val 2307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CF &gt; Dividendos + Vencimientos a LP, nos garantiza la capacidad d ela empresa de hacer frente a sus compromisos a LP, y de asegurar su crecimiento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127"/>
  <sheetViews>
    <sheetView tabSelected="1" workbookViewId="0" topLeftCell="A1">
      <selection activeCell="A103" sqref="A103"/>
    </sheetView>
  </sheetViews>
  <sheetFormatPr defaultColWidth="9.140625" defaultRowHeight="12.75" outlineLevelRow="2"/>
  <cols>
    <col min="1" max="1" width="21.7109375" style="0" customWidth="1"/>
    <col min="2" max="6" width="9.28125" style="0" bestFit="1" customWidth="1"/>
    <col min="7" max="10" width="9.7109375" style="0" bestFit="1" customWidth="1"/>
    <col min="11" max="11" width="9.28125" style="0" bestFit="1" customWidth="1"/>
  </cols>
  <sheetData>
    <row r="1" spans="1:3" s="32" customFormat="1" ht="12.75">
      <c r="A1" s="26" t="s">
        <v>38</v>
      </c>
      <c r="B1" s="27"/>
      <c r="C1" s="28"/>
    </row>
    <row r="3" spans="1:12" s="12" customFormat="1" ht="12.75">
      <c r="A3" s="1" t="s">
        <v>0</v>
      </c>
      <c r="B3" s="5">
        <v>1984</v>
      </c>
      <c r="C3" s="1">
        <f>B3+1</f>
        <v>1985</v>
      </c>
      <c r="D3" s="1">
        <f aca="true" t="shared" si="0" ref="D3:K3">C3+1</f>
        <v>1986</v>
      </c>
      <c r="E3" s="1">
        <f t="shared" si="0"/>
        <v>1987</v>
      </c>
      <c r="F3" s="1">
        <f t="shared" si="0"/>
        <v>1988</v>
      </c>
      <c r="G3" s="1">
        <f t="shared" si="0"/>
        <v>1989</v>
      </c>
      <c r="H3" s="1">
        <f t="shared" si="0"/>
        <v>1990</v>
      </c>
      <c r="I3" s="1">
        <f t="shared" si="0"/>
        <v>1991</v>
      </c>
      <c r="J3" s="1">
        <f t="shared" si="0"/>
        <v>1992</v>
      </c>
      <c r="K3" s="1">
        <f t="shared" si="0"/>
        <v>1993</v>
      </c>
      <c r="L3" s="1" t="s">
        <v>174</v>
      </c>
    </row>
    <row r="4" spans="1:12" ht="12.75" outlineLevel="1">
      <c r="A4" s="4" t="s">
        <v>13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2.75" outlineLevel="1">
      <c r="A5" s="62" t="s">
        <v>103</v>
      </c>
      <c r="B5" s="8">
        <f>B9</f>
        <v>100</v>
      </c>
      <c r="C5" s="8">
        <f aca="true" t="shared" si="1" ref="C5:L5">C9</f>
        <v>100</v>
      </c>
      <c r="D5" s="8">
        <f t="shared" si="1"/>
        <v>300</v>
      </c>
      <c r="E5" s="8">
        <f t="shared" si="1"/>
        <v>300</v>
      </c>
      <c r="F5" s="8">
        <f t="shared" si="1"/>
        <v>400</v>
      </c>
      <c r="G5" s="8">
        <f t="shared" si="1"/>
        <v>400</v>
      </c>
      <c r="H5" s="8">
        <f t="shared" si="1"/>
        <v>500</v>
      </c>
      <c r="I5" s="8">
        <f t="shared" si="1"/>
        <v>500</v>
      </c>
      <c r="J5" s="8">
        <f t="shared" si="1"/>
        <v>600</v>
      </c>
      <c r="K5" s="8">
        <f t="shared" si="1"/>
        <v>0</v>
      </c>
      <c r="L5" s="8">
        <f t="shared" si="1"/>
        <v>0</v>
      </c>
    </row>
    <row r="6" spans="1:12" ht="12.75" outlineLevel="1">
      <c r="A6" s="62" t="s">
        <v>21</v>
      </c>
      <c r="B6" s="8">
        <f>B5</f>
        <v>100</v>
      </c>
      <c r="C6" s="8">
        <f aca="true" t="shared" si="2" ref="C6:L6">C5</f>
        <v>100</v>
      </c>
      <c r="D6" s="8">
        <f t="shared" si="2"/>
        <v>300</v>
      </c>
      <c r="E6" s="8">
        <f t="shared" si="2"/>
        <v>300</v>
      </c>
      <c r="F6" s="8">
        <f t="shared" si="2"/>
        <v>400</v>
      </c>
      <c r="G6" s="8">
        <f t="shared" si="2"/>
        <v>400</v>
      </c>
      <c r="H6" s="8">
        <f t="shared" si="2"/>
        <v>500</v>
      </c>
      <c r="I6" s="8">
        <f t="shared" si="2"/>
        <v>500</v>
      </c>
      <c r="J6" s="8">
        <f t="shared" si="2"/>
        <v>600</v>
      </c>
      <c r="K6" s="8">
        <f t="shared" si="2"/>
        <v>0</v>
      </c>
      <c r="L6" s="8">
        <f t="shared" si="2"/>
        <v>0</v>
      </c>
    </row>
    <row r="7" spans="1:12" ht="12.75" outlineLevel="1">
      <c r="A7" s="4" t="s">
        <v>14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12.75" outlineLevel="1">
      <c r="A8" s="4" t="s">
        <v>15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2" ht="12.75" outlineLevel="1">
      <c r="A9" s="4" t="s">
        <v>43</v>
      </c>
      <c r="B9" s="8">
        <v>100</v>
      </c>
      <c r="C9" s="8">
        <v>100</v>
      </c>
      <c r="D9" s="8">
        <v>300</v>
      </c>
      <c r="E9" s="8">
        <v>300</v>
      </c>
      <c r="F9" s="8">
        <v>400</v>
      </c>
      <c r="G9" s="8">
        <v>400</v>
      </c>
      <c r="H9" s="8">
        <v>500</v>
      </c>
      <c r="I9" s="8">
        <v>500</v>
      </c>
      <c r="J9" s="8">
        <v>600</v>
      </c>
      <c r="K9" s="8"/>
      <c r="L9" s="8"/>
    </row>
    <row r="10" spans="1:12" ht="12.75" outlineLevel="1" collapsed="1">
      <c r="A10" s="3" t="s">
        <v>2</v>
      </c>
      <c r="B10" s="45">
        <f>B4+B7+B8+B9</f>
        <v>100</v>
      </c>
      <c r="C10" s="45">
        <f aca="true" t="shared" si="3" ref="C10:L10">C4+C7+C8+C9</f>
        <v>100</v>
      </c>
      <c r="D10" s="45">
        <f t="shared" si="3"/>
        <v>300</v>
      </c>
      <c r="E10" s="45">
        <f t="shared" si="3"/>
        <v>300</v>
      </c>
      <c r="F10" s="45">
        <f t="shared" si="3"/>
        <v>400</v>
      </c>
      <c r="G10" s="45">
        <f t="shared" si="3"/>
        <v>400</v>
      </c>
      <c r="H10" s="45">
        <f t="shared" si="3"/>
        <v>500</v>
      </c>
      <c r="I10" s="45">
        <f t="shared" si="3"/>
        <v>500</v>
      </c>
      <c r="J10" s="45">
        <f t="shared" si="3"/>
        <v>600</v>
      </c>
      <c r="K10" s="45">
        <f t="shared" si="3"/>
        <v>0</v>
      </c>
      <c r="L10" s="45">
        <f t="shared" si="3"/>
        <v>0</v>
      </c>
    </row>
    <row r="11" spans="1:12" ht="12.75" outlineLevel="1">
      <c r="A11" s="36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</row>
    <row r="12" spans="1:12" ht="12.75" hidden="1" outlineLevel="2">
      <c r="A12" s="38" t="s">
        <v>29</v>
      </c>
      <c r="B12" s="8">
        <v>20</v>
      </c>
      <c r="C12" s="8">
        <v>30</v>
      </c>
      <c r="D12" s="8">
        <v>20</v>
      </c>
      <c r="E12" s="8">
        <v>20</v>
      </c>
      <c r="F12" s="8">
        <v>10</v>
      </c>
      <c r="G12" s="8">
        <v>10</v>
      </c>
      <c r="H12" s="8">
        <v>20</v>
      </c>
      <c r="I12" s="8">
        <v>25</v>
      </c>
      <c r="J12" s="8">
        <v>30</v>
      </c>
      <c r="K12" s="8"/>
      <c r="L12" s="8"/>
    </row>
    <row r="13" spans="1:12" ht="12.75" hidden="1" outlineLevel="2">
      <c r="A13" s="38" t="s">
        <v>30</v>
      </c>
      <c r="B13" s="8">
        <v>20</v>
      </c>
      <c r="C13" s="8">
        <v>30</v>
      </c>
      <c r="D13" s="8">
        <v>20</v>
      </c>
      <c r="E13" s="8">
        <v>40</v>
      </c>
      <c r="F13" s="8">
        <v>20</v>
      </c>
      <c r="G13" s="8">
        <v>20</v>
      </c>
      <c r="H13" s="8">
        <v>30</v>
      </c>
      <c r="I13" s="8">
        <v>40</v>
      </c>
      <c r="J13" s="8">
        <v>30</v>
      </c>
      <c r="K13" s="8"/>
      <c r="L13" s="8"/>
    </row>
    <row r="14" spans="1:12" ht="12.75" hidden="1" outlineLevel="2">
      <c r="A14" s="38" t="s">
        <v>31</v>
      </c>
      <c r="B14" s="8">
        <v>10</v>
      </c>
      <c r="C14" s="8">
        <v>120</v>
      </c>
      <c r="D14" s="8">
        <v>20</v>
      </c>
      <c r="E14" s="8">
        <v>110</v>
      </c>
      <c r="F14" s="8">
        <v>50</v>
      </c>
      <c r="G14" s="8">
        <v>40</v>
      </c>
      <c r="H14" s="8">
        <v>94</v>
      </c>
      <c r="I14" s="8">
        <v>257</v>
      </c>
      <c r="J14" s="8">
        <v>225</v>
      </c>
      <c r="K14" s="8"/>
      <c r="L14" s="8"/>
    </row>
    <row r="15" spans="1:12" ht="12.75" hidden="1" outlineLevel="2">
      <c r="A15" s="4" t="s">
        <v>42</v>
      </c>
      <c r="B15" s="34">
        <f>SUM(B12:B14)</f>
        <v>50</v>
      </c>
      <c r="C15" s="34">
        <f aca="true" t="shared" si="4" ref="C15:L15">SUM(C12:C14)</f>
        <v>180</v>
      </c>
      <c r="D15" s="34">
        <f t="shared" si="4"/>
        <v>60</v>
      </c>
      <c r="E15" s="34">
        <f t="shared" si="4"/>
        <v>170</v>
      </c>
      <c r="F15" s="34">
        <f t="shared" si="4"/>
        <v>80</v>
      </c>
      <c r="G15" s="34">
        <f t="shared" si="4"/>
        <v>70</v>
      </c>
      <c r="H15" s="34">
        <f t="shared" si="4"/>
        <v>144</v>
      </c>
      <c r="I15" s="34">
        <f t="shared" si="4"/>
        <v>322</v>
      </c>
      <c r="J15" s="34">
        <f t="shared" si="4"/>
        <v>285</v>
      </c>
      <c r="K15" s="34">
        <f t="shared" si="4"/>
        <v>0</v>
      </c>
      <c r="L15" s="34">
        <f t="shared" si="4"/>
        <v>0</v>
      </c>
    </row>
    <row r="16" spans="1:12" ht="12.75" hidden="1" outlineLevel="2">
      <c r="A16" s="4" t="s">
        <v>3</v>
      </c>
      <c r="B16" s="8">
        <v>10</v>
      </c>
      <c r="C16" s="8">
        <v>10</v>
      </c>
      <c r="D16" s="8">
        <v>89</v>
      </c>
      <c r="E16" s="8">
        <v>81</v>
      </c>
      <c r="F16" s="8">
        <v>165</v>
      </c>
      <c r="G16" s="8">
        <v>250</v>
      </c>
      <c r="H16" s="8">
        <v>166</v>
      </c>
      <c r="I16" s="8">
        <v>226</v>
      </c>
      <c r="J16" s="8">
        <v>185</v>
      </c>
      <c r="K16" s="8"/>
      <c r="L16" s="8"/>
    </row>
    <row r="17" spans="1:12" ht="12.75" hidden="1" outlineLevel="2">
      <c r="A17" s="4" t="s">
        <v>39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1:12" ht="12.75" hidden="1" outlineLevel="2">
      <c r="A18" s="4" t="s">
        <v>40</v>
      </c>
      <c r="B18" s="8">
        <v>10</v>
      </c>
      <c r="C18" s="8">
        <v>20</v>
      </c>
      <c r="D18" s="8">
        <v>30</v>
      </c>
      <c r="E18" s="8">
        <v>30</v>
      </c>
      <c r="F18" s="8">
        <v>40</v>
      </c>
      <c r="G18" s="8">
        <v>40</v>
      </c>
      <c r="H18" s="8">
        <v>50</v>
      </c>
      <c r="I18" s="8">
        <v>50</v>
      </c>
      <c r="J18" s="8">
        <v>60</v>
      </c>
      <c r="K18" s="8"/>
      <c r="L18" s="8"/>
    </row>
    <row r="19" spans="1:12" ht="12.75" hidden="1" outlineLevel="2">
      <c r="A19" s="4" t="s">
        <v>26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2" ht="12.75" hidden="1" outlineLevel="2">
      <c r="A20" s="4" t="s">
        <v>41</v>
      </c>
      <c r="B20" s="8">
        <v>40</v>
      </c>
      <c r="C20" s="8">
        <v>130</v>
      </c>
      <c r="D20" s="8">
        <v>271</v>
      </c>
      <c r="E20" s="8">
        <v>339</v>
      </c>
      <c r="F20" s="8">
        <v>295</v>
      </c>
      <c r="G20" s="8">
        <v>300</v>
      </c>
      <c r="H20" s="8">
        <v>350</v>
      </c>
      <c r="I20" s="8">
        <v>362</v>
      </c>
      <c r="J20" s="8">
        <v>390</v>
      </c>
      <c r="K20" s="8"/>
      <c r="L20" s="8"/>
    </row>
    <row r="21" spans="1:12" ht="12.75" hidden="1" outlineLevel="2">
      <c r="A21" s="4" t="s">
        <v>43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2" ht="12.75" outlineLevel="1" collapsed="1">
      <c r="A22" s="3" t="s">
        <v>4</v>
      </c>
      <c r="B22" s="45">
        <f>B15+SUM(B16:B21)</f>
        <v>110</v>
      </c>
      <c r="C22" s="45">
        <f aca="true" t="shared" si="5" ref="C22:L22">C15+SUM(C16:C21)</f>
        <v>340</v>
      </c>
      <c r="D22" s="45">
        <f t="shared" si="5"/>
        <v>450</v>
      </c>
      <c r="E22" s="45">
        <f t="shared" si="5"/>
        <v>620</v>
      </c>
      <c r="F22" s="45">
        <f t="shared" si="5"/>
        <v>580</v>
      </c>
      <c r="G22" s="45">
        <f t="shared" si="5"/>
        <v>660</v>
      </c>
      <c r="H22" s="45">
        <f t="shared" si="5"/>
        <v>710</v>
      </c>
      <c r="I22" s="45">
        <f t="shared" si="5"/>
        <v>960</v>
      </c>
      <c r="J22" s="45">
        <f t="shared" si="5"/>
        <v>920</v>
      </c>
      <c r="K22" s="45">
        <f t="shared" si="5"/>
        <v>0</v>
      </c>
      <c r="L22" s="45">
        <f t="shared" si="5"/>
        <v>0</v>
      </c>
    </row>
    <row r="23" spans="1:12" ht="12.75">
      <c r="A23" s="3" t="s">
        <v>93</v>
      </c>
      <c r="B23" s="35">
        <f>B24-B32</f>
        <v>200</v>
      </c>
      <c r="C23" s="35">
        <f aca="true" t="shared" si="6" ref="C23:L23">C24-C32</f>
        <v>420</v>
      </c>
      <c r="D23" s="35">
        <f t="shared" si="6"/>
        <v>700</v>
      </c>
      <c r="E23" s="35">
        <f t="shared" si="6"/>
        <v>840</v>
      </c>
      <c r="F23" s="35">
        <f t="shared" si="6"/>
        <v>860</v>
      </c>
      <c r="G23" s="35">
        <f t="shared" si="6"/>
        <v>900</v>
      </c>
      <c r="H23" s="35">
        <f t="shared" si="6"/>
        <v>1000</v>
      </c>
      <c r="I23" s="35">
        <f t="shared" si="6"/>
        <v>1200</v>
      </c>
      <c r="J23" s="35">
        <f t="shared" si="6"/>
        <v>1200</v>
      </c>
      <c r="K23" s="35">
        <f t="shared" si="6"/>
        <v>0</v>
      </c>
      <c r="L23" s="35">
        <f t="shared" si="6"/>
        <v>0</v>
      </c>
    </row>
    <row r="24" spans="1:12" ht="12.75">
      <c r="A24" s="3" t="s">
        <v>94</v>
      </c>
      <c r="B24" s="35">
        <f aca="true" t="shared" si="7" ref="B24:L24">B10+B22</f>
        <v>210</v>
      </c>
      <c r="C24" s="35">
        <f t="shared" si="7"/>
        <v>440</v>
      </c>
      <c r="D24" s="35">
        <f t="shared" si="7"/>
        <v>750</v>
      </c>
      <c r="E24" s="35">
        <f t="shared" si="7"/>
        <v>920</v>
      </c>
      <c r="F24" s="35">
        <f t="shared" si="7"/>
        <v>980</v>
      </c>
      <c r="G24" s="35">
        <f t="shared" si="7"/>
        <v>1060</v>
      </c>
      <c r="H24" s="35">
        <f t="shared" si="7"/>
        <v>1210</v>
      </c>
      <c r="I24" s="35">
        <f t="shared" si="7"/>
        <v>1460</v>
      </c>
      <c r="J24" s="35">
        <f t="shared" si="7"/>
        <v>1520</v>
      </c>
      <c r="K24" s="35">
        <f t="shared" si="7"/>
        <v>0</v>
      </c>
      <c r="L24" s="35">
        <f t="shared" si="7"/>
        <v>0</v>
      </c>
    </row>
    <row r="26" spans="1:12" s="12" customFormat="1" ht="12.75">
      <c r="A26" s="1" t="s">
        <v>1</v>
      </c>
      <c r="B26" s="1">
        <f>B3</f>
        <v>1984</v>
      </c>
      <c r="C26" s="1">
        <f aca="true" t="shared" si="8" ref="C26:L26">C3</f>
        <v>1985</v>
      </c>
      <c r="D26" s="1">
        <f t="shared" si="8"/>
        <v>1986</v>
      </c>
      <c r="E26" s="1">
        <f t="shared" si="8"/>
        <v>1987</v>
      </c>
      <c r="F26" s="1">
        <f t="shared" si="8"/>
        <v>1988</v>
      </c>
      <c r="G26" s="1">
        <f t="shared" si="8"/>
        <v>1989</v>
      </c>
      <c r="H26" s="1">
        <f t="shared" si="8"/>
        <v>1990</v>
      </c>
      <c r="I26" s="1">
        <f t="shared" si="8"/>
        <v>1991</v>
      </c>
      <c r="J26" s="1">
        <f t="shared" si="8"/>
        <v>1992</v>
      </c>
      <c r="K26" s="1">
        <f t="shared" si="8"/>
        <v>1993</v>
      </c>
      <c r="L26" s="1" t="str">
        <f t="shared" si="8"/>
        <v>PREV</v>
      </c>
    </row>
    <row r="27" spans="1:12" ht="12.75" outlineLevel="1">
      <c r="A27" s="2" t="s">
        <v>5</v>
      </c>
      <c r="B27" s="8">
        <v>100</v>
      </c>
      <c r="C27" s="8">
        <v>200</v>
      </c>
      <c r="D27" s="8">
        <v>200</v>
      </c>
      <c r="E27" s="8">
        <v>200</v>
      </c>
      <c r="F27" s="8">
        <v>200</v>
      </c>
      <c r="G27" s="8">
        <v>200</v>
      </c>
      <c r="H27" s="8">
        <v>200</v>
      </c>
      <c r="I27" s="8">
        <v>200</v>
      </c>
      <c r="J27" s="8">
        <v>200</v>
      </c>
      <c r="K27" s="8"/>
      <c r="L27" s="8"/>
    </row>
    <row r="28" spans="1:12" ht="12.75" outlineLevel="1">
      <c r="A28" s="2" t="s">
        <v>24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ht="12.75" outlineLevel="1">
      <c r="A29" s="2" t="s">
        <v>43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ht="12.75" outlineLevel="1" collapsed="1">
      <c r="A30" s="37" t="s">
        <v>6</v>
      </c>
      <c r="B30" s="45">
        <f aca="true" t="shared" si="9" ref="B30:L30">SUM(B27:B29)</f>
        <v>100</v>
      </c>
      <c r="C30" s="45">
        <f t="shared" si="9"/>
        <v>200</v>
      </c>
      <c r="D30" s="45">
        <f t="shared" si="9"/>
        <v>200</v>
      </c>
      <c r="E30" s="45">
        <f t="shared" si="9"/>
        <v>200</v>
      </c>
      <c r="F30" s="45">
        <f t="shared" si="9"/>
        <v>200</v>
      </c>
      <c r="G30" s="45">
        <f t="shared" si="9"/>
        <v>200</v>
      </c>
      <c r="H30" s="45">
        <f t="shared" si="9"/>
        <v>200</v>
      </c>
      <c r="I30" s="45">
        <f t="shared" si="9"/>
        <v>200</v>
      </c>
      <c r="J30" s="45">
        <f t="shared" si="9"/>
        <v>200</v>
      </c>
      <c r="K30" s="45">
        <f t="shared" si="9"/>
        <v>0</v>
      </c>
      <c r="L30" s="45">
        <f t="shared" si="9"/>
        <v>0</v>
      </c>
    </row>
    <row r="31" ht="12.75" outlineLevel="1"/>
    <row r="32" spans="1:12" ht="12.75" outlineLevel="1">
      <c r="A32" s="37" t="s">
        <v>82</v>
      </c>
      <c r="B32" s="8">
        <v>10</v>
      </c>
      <c r="C32" s="8">
        <v>20</v>
      </c>
      <c r="D32" s="8">
        <v>50</v>
      </c>
      <c r="E32" s="8">
        <v>80</v>
      </c>
      <c r="F32" s="8">
        <v>120</v>
      </c>
      <c r="G32" s="8">
        <v>160</v>
      </c>
      <c r="H32" s="8">
        <v>210</v>
      </c>
      <c r="I32" s="8">
        <v>260</v>
      </c>
      <c r="J32" s="8">
        <v>320</v>
      </c>
      <c r="K32" s="8"/>
      <c r="L32" s="8"/>
    </row>
    <row r="33" ht="12.75" outlineLevel="1"/>
    <row r="34" spans="1:12" ht="12.75" outlineLevel="2">
      <c r="A34" s="2" t="s">
        <v>43</v>
      </c>
      <c r="B34" s="8"/>
      <c r="C34" s="8"/>
      <c r="D34" s="8"/>
      <c r="E34" s="8"/>
      <c r="F34" s="8"/>
      <c r="G34" s="8"/>
      <c r="H34" s="8">
        <v>115</v>
      </c>
      <c r="I34" s="8">
        <v>312</v>
      </c>
      <c r="J34" s="8">
        <v>279</v>
      </c>
      <c r="K34" s="8"/>
      <c r="L34" s="8"/>
    </row>
    <row r="35" spans="1:12" ht="12.75" outlineLevel="1">
      <c r="A35" s="37" t="s">
        <v>44</v>
      </c>
      <c r="B35" s="45">
        <f>SUM(B34)</f>
        <v>0</v>
      </c>
      <c r="C35" s="45">
        <f aca="true" t="shared" si="10" ref="C35:L35">SUM(C34)</f>
        <v>0</v>
      </c>
      <c r="D35" s="45">
        <f t="shared" si="10"/>
        <v>0</v>
      </c>
      <c r="E35" s="45">
        <f t="shared" si="10"/>
        <v>0</v>
      </c>
      <c r="F35" s="45">
        <f t="shared" si="10"/>
        <v>0</v>
      </c>
      <c r="G35" s="45">
        <f t="shared" si="10"/>
        <v>0</v>
      </c>
      <c r="H35" s="45">
        <f t="shared" si="10"/>
        <v>115</v>
      </c>
      <c r="I35" s="45">
        <f t="shared" si="10"/>
        <v>312</v>
      </c>
      <c r="J35" s="45">
        <f t="shared" si="10"/>
        <v>279</v>
      </c>
      <c r="K35" s="45">
        <f t="shared" si="10"/>
        <v>0</v>
      </c>
      <c r="L35" s="45">
        <f t="shared" si="10"/>
        <v>0</v>
      </c>
    </row>
    <row r="36" ht="12.75" outlineLevel="1"/>
    <row r="37" spans="1:12" ht="12.75" outlineLevel="2">
      <c r="A37" s="2" t="s">
        <v>48</v>
      </c>
      <c r="B37" s="8"/>
      <c r="C37" s="8"/>
      <c r="D37" s="8"/>
      <c r="E37" s="8"/>
      <c r="F37" s="8"/>
      <c r="G37" s="8"/>
      <c r="H37" s="8">
        <v>10</v>
      </c>
      <c r="I37" s="8">
        <f>10+23</f>
        <v>33</v>
      </c>
      <c r="J37" s="8">
        <f>10+23</f>
        <v>33</v>
      </c>
      <c r="K37" s="8"/>
      <c r="L37" s="8"/>
    </row>
    <row r="38" spans="1:12" ht="12.75" outlineLevel="2">
      <c r="A38" s="2" t="s">
        <v>32</v>
      </c>
      <c r="B38" s="8">
        <v>20</v>
      </c>
      <c r="C38" s="8">
        <v>30</v>
      </c>
      <c r="D38" s="8">
        <v>30</v>
      </c>
      <c r="E38" s="8">
        <v>40</v>
      </c>
      <c r="F38" s="8">
        <v>40</v>
      </c>
      <c r="G38" s="8">
        <v>50</v>
      </c>
      <c r="H38" s="8">
        <v>50</v>
      </c>
      <c r="I38" s="8">
        <v>40</v>
      </c>
      <c r="J38" s="8">
        <v>50</v>
      </c>
      <c r="K38" s="8"/>
      <c r="L38" s="8"/>
    </row>
    <row r="39" spans="1:12" ht="12.75" outlineLevel="2">
      <c r="A39" s="39" t="s">
        <v>45</v>
      </c>
      <c r="B39" s="8"/>
      <c r="C39" s="8"/>
      <c r="D39" s="8">
        <v>91</v>
      </c>
      <c r="E39" s="8">
        <v>117</v>
      </c>
      <c r="F39" s="8">
        <v>150</v>
      </c>
      <c r="G39" s="8">
        <v>168</v>
      </c>
      <c r="H39" s="8">
        <v>110</v>
      </c>
      <c r="I39" s="8">
        <v>110</v>
      </c>
      <c r="J39" s="8">
        <v>96</v>
      </c>
      <c r="K39" s="8"/>
      <c r="L39" s="8"/>
    </row>
    <row r="40" spans="1:12" ht="12.75" outlineLevel="2">
      <c r="A40" s="39" t="s">
        <v>51</v>
      </c>
      <c r="B40" s="8"/>
      <c r="C40" s="8"/>
      <c r="D40" s="8">
        <v>45</v>
      </c>
      <c r="E40" s="8">
        <v>60</v>
      </c>
      <c r="F40" s="8">
        <v>80</v>
      </c>
      <c r="G40" s="8">
        <v>85</v>
      </c>
      <c r="H40" s="8">
        <v>60</v>
      </c>
      <c r="I40" s="8">
        <v>60</v>
      </c>
      <c r="J40" s="8">
        <v>50</v>
      </c>
      <c r="K40" s="8"/>
      <c r="L40" s="8"/>
    </row>
    <row r="41" spans="1:12" ht="12.75" outlineLevel="2">
      <c r="A41" s="2" t="s">
        <v>47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12" ht="12.75" outlineLevel="2">
      <c r="A42" s="2" t="s">
        <v>49</v>
      </c>
      <c r="B42" s="11">
        <f>B20</f>
        <v>40</v>
      </c>
      <c r="C42" s="11">
        <f aca="true" t="shared" si="11" ref="C42:L42">C20</f>
        <v>130</v>
      </c>
      <c r="D42" s="11">
        <f t="shared" si="11"/>
        <v>271</v>
      </c>
      <c r="E42" s="11">
        <f t="shared" si="11"/>
        <v>339</v>
      </c>
      <c r="F42" s="11">
        <f t="shared" si="11"/>
        <v>295</v>
      </c>
      <c r="G42" s="11">
        <f t="shared" si="11"/>
        <v>300</v>
      </c>
      <c r="H42" s="11">
        <f t="shared" si="11"/>
        <v>350</v>
      </c>
      <c r="I42" s="11">
        <f t="shared" si="11"/>
        <v>362</v>
      </c>
      <c r="J42" s="11">
        <f t="shared" si="11"/>
        <v>390</v>
      </c>
      <c r="K42" s="11">
        <f t="shared" si="11"/>
        <v>0</v>
      </c>
      <c r="L42" s="11">
        <f t="shared" si="11"/>
        <v>0</v>
      </c>
    </row>
    <row r="43" spans="1:12" ht="12.75" outlineLevel="2">
      <c r="A43" s="2" t="s">
        <v>43</v>
      </c>
      <c r="B43" s="8">
        <f>40</f>
        <v>40</v>
      </c>
      <c r="C43" s="8">
        <f>2+58</f>
        <v>60</v>
      </c>
      <c r="D43" s="8">
        <f>3+60</f>
        <v>63</v>
      </c>
      <c r="E43" s="8">
        <f>4+80</f>
        <v>84</v>
      </c>
      <c r="F43" s="8">
        <f>5+90</f>
        <v>95</v>
      </c>
      <c r="G43" s="8">
        <f>6+91</f>
        <v>97</v>
      </c>
      <c r="H43" s="8">
        <f>5+100</f>
        <v>105</v>
      </c>
      <c r="I43" s="8">
        <f>3+80</f>
        <v>83</v>
      </c>
      <c r="J43" s="8">
        <f>2+100</f>
        <v>102</v>
      </c>
      <c r="K43" s="8"/>
      <c r="L43" s="8"/>
    </row>
    <row r="44" spans="1:12" ht="12.75" outlineLevel="2">
      <c r="A44" s="61" t="s">
        <v>105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2" ht="12.75" outlineLevel="1">
      <c r="A45" s="37" t="s">
        <v>50</v>
      </c>
      <c r="B45" s="45">
        <f>SUM(B37:B43)</f>
        <v>100</v>
      </c>
      <c r="C45" s="45">
        <f aca="true" t="shared" si="12" ref="C45:L45">SUM(C37:C43)</f>
        <v>220</v>
      </c>
      <c r="D45" s="45">
        <f t="shared" si="12"/>
        <v>500</v>
      </c>
      <c r="E45" s="45">
        <f t="shared" si="12"/>
        <v>640</v>
      </c>
      <c r="F45" s="45">
        <f t="shared" si="12"/>
        <v>660</v>
      </c>
      <c r="G45" s="45">
        <f t="shared" si="12"/>
        <v>700</v>
      </c>
      <c r="H45" s="45">
        <f t="shared" si="12"/>
        <v>685</v>
      </c>
      <c r="I45" s="45">
        <f t="shared" si="12"/>
        <v>688</v>
      </c>
      <c r="J45" s="45">
        <f t="shared" si="12"/>
        <v>721</v>
      </c>
      <c r="K45" s="45">
        <f t="shared" si="12"/>
        <v>0</v>
      </c>
      <c r="L45" s="45">
        <f t="shared" si="12"/>
        <v>0</v>
      </c>
    </row>
    <row r="46" spans="1:12" ht="12.75">
      <c r="A46" s="3" t="s">
        <v>83</v>
      </c>
      <c r="B46" s="35">
        <f>B47-B32</f>
        <v>200</v>
      </c>
      <c r="C46" s="35">
        <f aca="true" t="shared" si="13" ref="C46:L46">C47-C32</f>
        <v>420</v>
      </c>
      <c r="D46" s="35">
        <f t="shared" si="13"/>
        <v>700</v>
      </c>
      <c r="E46" s="35">
        <f t="shared" si="13"/>
        <v>840</v>
      </c>
      <c r="F46" s="35">
        <f t="shared" si="13"/>
        <v>860</v>
      </c>
      <c r="G46" s="35">
        <f t="shared" si="13"/>
        <v>900</v>
      </c>
      <c r="H46" s="35">
        <f t="shared" si="13"/>
        <v>1000</v>
      </c>
      <c r="I46" s="35">
        <f t="shared" si="13"/>
        <v>1200</v>
      </c>
      <c r="J46" s="35">
        <f t="shared" si="13"/>
        <v>1200</v>
      </c>
      <c r="K46" s="35">
        <f t="shared" si="13"/>
        <v>0</v>
      </c>
      <c r="L46" s="35">
        <f t="shared" si="13"/>
        <v>0</v>
      </c>
    </row>
    <row r="47" spans="1:12" ht="12.75">
      <c r="A47" s="3" t="s">
        <v>101</v>
      </c>
      <c r="B47" s="35">
        <f aca="true" t="shared" si="14" ref="B47:L47">B30++B32+B35+B45</f>
        <v>210</v>
      </c>
      <c r="C47" s="35">
        <f t="shared" si="14"/>
        <v>440</v>
      </c>
      <c r="D47" s="35">
        <f t="shared" si="14"/>
        <v>750</v>
      </c>
      <c r="E47" s="35">
        <f t="shared" si="14"/>
        <v>920</v>
      </c>
      <c r="F47" s="35">
        <f t="shared" si="14"/>
        <v>980</v>
      </c>
      <c r="G47" s="35">
        <f t="shared" si="14"/>
        <v>1060</v>
      </c>
      <c r="H47" s="35">
        <f t="shared" si="14"/>
        <v>1210</v>
      </c>
      <c r="I47" s="35">
        <f t="shared" si="14"/>
        <v>1460</v>
      </c>
      <c r="J47" s="35">
        <f t="shared" si="14"/>
        <v>1520</v>
      </c>
      <c r="K47" s="35">
        <f t="shared" si="14"/>
        <v>0</v>
      </c>
      <c r="L47" s="35">
        <f t="shared" si="14"/>
        <v>0</v>
      </c>
    </row>
    <row r="50" spans="1:12" s="12" customFormat="1" ht="12.75">
      <c r="A50" s="1" t="s">
        <v>52</v>
      </c>
      <c r="B50" s="1">
        <f>B26</f>
        <v>1984</v>
      </c>
      <c r="C50" s="1">
        <f aca="true" t="shared" si="15" ref="C50:L50">C26</f>
        <v>1985</v>
      </c>
      <c r="D50" s="1">
        <f t="shared" si="15"/>
        <v>1986</v>
      </c>
      <c r="E50" s="1">
        <f t="shared" si="15"/>
        <v>1987</v>
      </c>
      <c r="F50" s="1">
        <f t="shared" si="15"/>
        <v>1988</v>
      </c>
      <c r="G50" s="1">
        <f t="shared" si="15"/>
        <v>1989</v>
      </c>
      <c r="H50" s="1">
        <f t="shared" si="15"/>
        <v>1990</v>
      </c>
      <c r="I50" s="1">
        <f t="shared" si="15"/>
        <v>1991</v>
      </c>
      <c r="J50" s="1">
        <f t="shared" si="15"/>
        <v>1992</v>
      </c>
      <c r="K50" s="1">
        <f t="shared" si="15"/>
        <v>1993</v>
      </c>
      <c r="L50" s="1" t="str">
        <f t="shared" si="15"/>
        <v>PREV</v>
      </c>
    </row>
    <row r="51" spans="1:12" ht="12.75" outlineLevel="1">
      <c r="A51" s="22" t="s">
        <v>53</v>
      </c>
      <c r="B51" s="100">
        <v>200</v>
      </c>
      <c r="C51" s="100">
        <v>500</v>
      </c>
      <c r="D51" s="100">
        <v>1300</v>
      </c>
      <c r="E51" s="100">
        <v>1500</v>
      </c>
      <c r="F51" s="100">
        <v>2000</v>
      </c>
      <c r="G51" s="100">
        <v>2500</v>
      </c>
      <c r="H51" s="8">
        <v>2200</v>
      </c>
      <c r="I51" s="8">
        <v>2100</v>
      </c>
      <c r="J51" s="8">
        <v>2000</v>
      </c>
      <c r="K51" s="8"/>
      <c r="L51" s="8"/>
    </row>
    <row r="52" spans="1:12" ht="12.75" outlineLevel="1">
      <c r="A52" s="22" t="s">
        <v>54</v>
      </c>
      <c r="B52" s="100"/>
      <c r="C52" s="100"/>
      <c r="D52" s="100"/>
      <c r="E52" s="100"/>
      <c r="F52" s="100"/>
      <c r="G52" s="100"/>
      <c r="H52" s="8"/>
      <c r="I52" s="8"/>
      <c r="J52" s="8"/>
      <c r="K52" s="8"/>
      <c r="L52" s="8"/>
    </row>
    <row r="53" spans="1:12" ht="12.75" outlineLevel="1" collapsed="1">
      <c r="A53" s="37" t="s">
        <v>55</v>
      </c>
      <c r="B53" s="45">
        <f>SUM(B51:B52)</f>
        <v>200</v>
      </c>
      <c r="C53" s="45">
        <f aca="true" t="shared" si="16" ref="C53:L53">SUM(C51:C52)</f>
        <v>500</v>
      </c>
      <c r="D53" s="45">
        <f t="shared" si="16"/>
        <v>1300</v>
      </c>
      <c r="E53" s="45">
        <f t="shared" si="16"/>
        <v>1500</v>
      </c>
      <c r="F53" s="45">
        <f t="shared" si="16"/>
        <v>2000</v>
      </c>
      <c r="G53" s="45">
        <f t="shared" si="16"/>
        <v>2500</v>
      </c>
      <c r="H53" s="45">
        <f t="shared" si="16"/>
        <v>2200</v>
      </c>
      <c r="I53" s="45">
        <f t="shared" si="16"/>
        <v>2100</v>
      </c>
      <c r="J53" s="45">
        <f t="shared" si="16"/>
        <v>2000</v>
      </c>
      <c r="K53" s="45">
        <f t="shared" si="16"/>
        <v>0</v>
      </c>
      <c r="L53" s="45">
        <f t="shared" si="16"/>
        <v>0</v>
      </c>
    </row>
    <row r="54" ht="12.75" outlineLevel="1" collapsed="1"/>
    <row r="55" spans="1:12" ht="12.75" hidden="1" outlineLevel="2">
      <c r="A55" s="22" t="s">
        <v>98</v>
      </c>
      <c r="B55" s="8">
        <v>60</v>
      </c>
      <c r="C55" s="8">
        <v>150</v>
      </c>
      <c r="D55" s="8">
        <v>390</v>
      </c>
      <c r="E55" s="8">
        <v>500</v>
      </c>
      <c r="F55" s="8">
        <v>560</v>
      </c>
      <c r="G55" s="8">
        <v>675</v>
      </c>
      <c r="H55" s="8">
        <v>572</v>
      </c>
      <c r="I55" s="8">
        <v>546</v>
      </c>
      <c r="J55" s="8">
        <v>540</v>
      </c>
      <c r="K55" s="8">
        <v>0</v>
      </c>
      <c r="L55" s="8"/>
    </row>
    <row r="56" spans="1:12" ht="12.75" outlineLevel="1" collapsed="1">
      <c r="A56" s="37" t="s">
        <v>56</v>
      </c>
      <c r="B56" s="45">
        <f>SUM(B55)</f>
        <v>60</v>
      </c>
      <c r="C56" s="45">
        <f aca="true" t="shared" si="17" ref="C56:L56">SUM(C55)</f>
        <v>150</v>
      </c>
      <c r="D56" s="45">
        <f t="shared" si="17"/>
        <v>390</v>
      </c>
      <c r="E56" s="45">
        <f t="shared" si="17"/>
        <v>500</v>
      </c>
      <c r="F56" s="45">
        <f t="shared" si="17"/>
        <v>560</v>
      </c>
      <c r="G56" s="45">
        <f t="shared" si="17"/>
        <v>675</v>
      </c>
      <c r="H56" s="45">
        <f t="shared" si="17"/>
        <v>572</v>
      </c>
      <c r="I56" s="45">
        <f t="shared" si="17"/>
        <v>546</v>
      </c>
      <c r="J56" s="45">
        <f t="shared" si="17"/>
        <v>540</v>
      </c>
      <c r="K56" s="45">
        <f t="shared" si="17"/>
        <v>0</v>
      </c>
      <c r="L56" s="45">
        <f t="shared" si="17"/>
        <v>0</v>
      </c>
    </row>
    <row r="57" spans="1:12" ht="12.75" outlineLevel="1">
      <c r="A57" s="46" t="s">
        <v>57</v>
      </c>
      <c r="B57" s="47">
        <f>B53-B56</f>
        <v>140</v>
      </c>
      <c r="C57" s="47">
        <f aca="true" t="shared" si="18" ref="C57:L57">C53-C56</f>
        <v>350</v>
      </c>
      <c r="D57" s="47">
        <f t="shared" si="18"/>
        <v>910</v>
      </c>
      <c r="E57" s="47">
        <f t="shared" si="18"/>
        <v>1000</v>
      </c>
      <c r="F57" s="47">
        <f t="shared" si="18"/>
        <v>1440</v>
      </c>
      <c r="G57" s="47">
        <f t="shared" si="18"/>
        <v>1825</v>
      </c>
      <c r="H57" s="47">
        <f t="shared" si="18"/>
        <v>1628</v>
      </c>
      <c r="I57" s="47">
        <f t="shared" si="18"/>
        <v>1554</v>
      </c>
      <c r="J57" s="47">
        <f t="shared" si="18"/>
        <v>1460</v>
      </c>
      <c r="K57" s="47">
        <f t="shared" si="18"/>
        <v>0</v>
      </c>
      <c r="L57" s="47">
        <f t="shared" si="18"/>
        <v>0</v>
      </c>
    </row>
    <row r="58" ht="12.75" outlineLevel="1"/>
    <row r="59" spans="1:12" ht="12.75" hidden="1" outlineLevel="2">
      <c r="A59" s="48" t="s">
        <v>58</v>
      </c>
      <c r="B59" s="8">
        <v>100</v>
      </c>
      <c r="C59" s="8">
        <v>268</v>
      </c>
      <c r="D59" s="8">
        <v>534</v>
      </c>
      <c r="E59" s="8">
        <v>548</v>
      </c>
      <c r="F59" s="8">
        <v>870</v>
      </c>
      <c r="G59" s="8">
        <v>1155</v>
      </c>
      <c r="H59" s="8">
        <v>1038</v>
      </c>
      <c r="I59" s="8">
        <v>960</v>
      </c>
      <c r="J59" s="8">
        <v>854</v>
      </c>
      <c r="K59" s="8"/>
      <c r="L59" s="8"/>
    </row>
    <row r="60" spans="1:12" ht="12.75" hidden="1" outlineLevel="2">
      <c r="A60" s="22" t="s">
        <v>59</v>
      </c>
      <c r="B60" s="8">
        <v>10</v>
      </c>
      <c r="C60" s="8">
        <v>10</v>
      </c>
      <c r="D60" s="8">
        <v>30</v>
      </c>
      <c r="E60" s="8">
        <v>30</v>
      </c>
      <c r="F60" s="8">
        <v>40</v>
      </c>
      <c r="G60" s="8">
        <v>40</v>
      </c>
      <c r="H60" s="8">
        <v>50</v>
      </c>
      <c r="I60" s="8">
        <v>50</v>
      </c>
      <c r="J60" s="8">
        <v>60</v>
      </c>
      <c r="K60" s="8"/>
      <c r="L60" s="8"/>
    </row>
    <row r="61" spans="1:12" ht="12.75" hidden="1" outlineLevel="2">
      <c r="A61" s="22" t="s">
        <v>43</v>
      </c>
      <c r="B61" s="8">
        <v>22</v>
      </c>
      <c r="C61" s="8">
        <v>50</v>
      </c>
      <c r="D61" s="8">
        <v>150</v>
      </c>
      <c r="E61" s="8">
        <v>170</v>
      </c>
      <c r="F61" s="8">
        <v>230</v>
      </c>
      <c r="G61" s="8">
        <v>300</v>
      </c>
      <c r="H61" s="8">
        <v>290</v>
      </c>
      <c r="I61" s="8">
        <v>280</v>
      </c>
      <c r="J61" s="8">
        <v>270</v>
      </c>
      <c r="K61" s="8"/>
      <c r="L61" s="8"/>
    </row>
    <row r="62" spans="1:12" ht="12.75" outlineLevel="1" collapsed="1">
      <c r="A62" s="37" t="s">
        <v>60</v>
      </c>
      <c r="B62" s="45">
        <f>SUM(B59:B61)</f>
        <v>132</v>
      </c>
      <c r="C62" s="45">
        <f aca="true" t="shared" si="19" ref="C62:L62">SUM(C59:C61)</f>
        <v>328</v>
      </c>
      <c r="D62" s="45">
        <f t="shared" si="19"/>
        <v>714</v>
      </c>
      <c r="E62" s="45">
        <f t="shared" si="19"/>
        <v>748</v>
      </c>
      <c r="F62" s="45">
        <f t="shared" si="19"/>
        <v>1140</v>
      </c>
      <c r="G62" s="45">
        <f t="shared" si="19"/>
        <v>1495</v>
      </c>
      <c r="H62" s="45">
        <f t="shared" si="19"/>
        <v>1378</v>
      </c>
      <c r="I62" s="45">
        <f t="shared" si="19"/>
        <v>1290</v>
      </c>
      <c r="J62" s="45">
        <f t="shared" si="19"/>
        <v>1184</v>
      </c>
      <c r="K62" s="45">
        <f t="shared" si="19"/>
        <v>0</v>
      </c>
      <c r="L62" s="45">
        <f t="shared" si="19"/>
        <v>0</v>
      </c>
    </row>
    <row r="63" spans="1:12" ht="12.75">
      <c r="A63" s="52" t="s">
        <v>66</v>
      </c>
      <c r="B63" s="47">
        <f aca="true" t="shared" si="20" ref="B63:L63">B57-B62</f>
        <v>8</v>
      </c>
      <c r="C63" s="47">
        <f t="shared" si="20"/>
        <v>22</v>
      </c>
      <c r="D63" s="47">
        <f t="shared" si="20"/>
        <v>196</v>
      </c>
      <c r="E63" s="47">
        <f t="shared" si="20"/>
        <v>252</v>
      </c>
      <c r="F63" s="47">
        <f t="shared" si="20"/>
        <v>300</v>
      </c>
      <c r="G63" s="47">
        <f t="shared" si="20"/>
        <v>330</v>
      </c>
      <c r="H63" s="47">
        <f t="shared" si="20"/>
        <v>250</v>
      </c>
      <c r="I63" s="47">
        <f t="shared" si="20"/>
        <v>264</v>
      </c>
      <c r="J63" s="47">
        <f t="shared" si="20"/>
        <v>276</v>
      </c>
      <c r="K63" s="47">
        <f t="shared" si="20"/>
        <v>0</v>
      </c>
      <c r="L63" s="47">
        <f t="shared" si="20"/>
        <v>0</v>
      </c>
    </row>
    <row r="64" spans="1:12" ht="12.75" hidden="1" outlineLevel="2">
      <c r="A64" s="70" t="s">
        <v>112</v>
      </c>
      <c r="B64" s="10">
        <f>IF(B53=0,0,B63/B53)</f>
        <v>0.04</v>
      </c>
      <c r="C64" s="10">
        <f aca="true" t="shared" si="21" ref="C64:L64">IF(C53=0,0,C63/C53)</f>
        <v>0.044</v>
      </c>
      <c r="D64" s="10">
        <f t="shared" si="21"/>
        <v>0.15076923076923077</v>
      </c>
      <c r="E64" s="10">
        <f t="shared" si="21"/>
        <v>0.168</v>
      </c>
      <c r="F64" s="10">
        <f t="shared" si="21"/>
        <v>0.15</v>
      </c>
      <c r="G64" s="10">
        <f t="shared" si="21"/>
        <v>0.132</v>
      </c>
      <c r="H64" s="10">
        <f t="shared" si="21"/>
        <v>0.11363636363636363</v>
      </c>
      <c r="I64" s="10">
        <f t="shared" si="21"/>
        <v>0.12571428571428572</v>
      </c>
      <c r="J64" s="10">
        <f t="shared" si="21"/>
        <v>0.138</v>
      </c>
      <c r="K64" s="10">
        <f t="shared" si="21"/>
        <v>0</v>
      </c>
      <c r="L64" s="10">
        <f t="shared" si="21"/>
        <v>0</v>
      </c>
    </row>
    <row r="65" spans="1:13" ht="12.75" hidden="1" outlineLevel="2">
      <c r="A65" t="s">
        <v>196</v>
      </c>
      <c r="B65">
        <f>B63+B60</f>
        <v>18</v>
      </c>
      <c r="C65">
        <f aca="true" t="shared" si="22" ref="C65:L65">C63+C60</f>
        <v>32</v>
      </c>
      <c r="D65">
        <f t="shared" si="22"/>
        <v>226</v>
      </c>
      <c r="E65">
        <f t="shared" si="22"/>
        <v>282</v>
      </c>
      <c r="F65">
        <f t="shared" si="22"/>
        <v>340</v>
      </c>
      <c r="G65">
        <f t="shared" si="22"/>
        <v>370</v>
      </c>
      <c r="H65">
        <f t="shared" si="22"/>
        <v>300</v>
      </c>
      <c r="I65">
        <f t="shared" si="22"/>
        <v>314</v>
      </c>
      <c r="J65">
        <f t="shared" si="22"/>
        <v>336</v>
      </c>
      <c r="K65">
        <f t="shared" si="22"/>
        <v>0</v>
      </c>
      <c r="L65">
        <f t="shared" si="22"/>
        <v>0</v>
      </c>
      <c r="M65" t="s">
        <v>197</v>
      </c>
    </row>
    <row r="66" spans="1:12" ht="12.75" hidden="1" outlineLevel="1">
      <c r="A66" s="49" t="s">
        <v>61</v>
      </c>
      <c r="B66" s="50">
        <v>12</v>
      </c>
      <c r="C66" s="50">
        <v>22</v>
      </c>
      <c r="D66" s="50">
        <v>60</v>
      </c>
      <c r="E66" s="50">
        <v>75</v>
      </c>
      <c r="F66" s="50">
        <v>70</v>
      </c>
      <c r="G66" s="50">
        <v>77</v>
      </c>
      <c r="H66" s="50">
        <v>80</v>
      </c>
      <c r="I66" s="50">
        <v>94</v>
      </c>
      <c r="J66" s="50">
        <v>130</v>
      </c>
      <c r="K66" s="50"/>
      <c r="L66" s="50"/>
    </row>
    <row r="67" spans="1:12" ht="12.75" hidden="1" outlineLevel="1">
      <c r="A67" s="22" t="s">
        <v>62</v>
      </c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</row>
    <row r="68" spans="1:12" ht="12.75" hidden="1" outlineLevel="1">
      <c r="A68" s="22" t="s">
        <v>64</v>
      </c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</row>
    <row r="69" spans="1:12" ht="12.75" hidden="1" outlineLevel="1">
      <c r="A69" s="22" t="s">
        <v>65</v>
      </c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</row>
    <row r="70" spans="1:12" ht="12.75" collapsed="1">
      <c r="A70" s="51" t="s">
        <v>63</v>
      </c>
      <c r="B70" s="45">
        <f>B63-B66+B67+B68-B69</f>
        <v>-4</v>
      </c>
      <c r="C70" s="45">
        <f aca="true" t="shared" si="23" ref="C70:L70">C63-C66+C67+C68-C69</f>
        <v>0</v>
      </c>
      <c r="D70" s="45">
        <f t="shared" si="23"/>
        <v>136</v>
      </c>
      <c r="E70" s="45">
        <f t="shared" si="23"/>
        <v>177</v>
      </c>
      <c r="F70" s="45">
        <f t="shared" si="23"/>
        <v>230</v>
      </c>
      <c r="G70" s="45">
        <f t="shared" si="23"/>
        <v>253</v>
      </c>
      <c r="H70" s="45">
        <f t="shared" si="23"/>
        <v>170</v>
      </c>
      <c r="I70" s="45">
        <f t="shared" si="23"/>
        <v>170</v>
      </c>
      <c r="J70" s="45">
        <f t="shared" si="23"/>
        <v>146</v>
      </c>
      <c r="K70" s="45">
        <f t="shared" si="23"/>
        <v>0</v>
      </c>
      <c r="L70" s="45">
        <f t="shared" si="23"/>
        <v>0</v>
      </c>
    </row>
    <row r="72" spans="1:12" ht="12.75" hidden="1" outlineLevel="1">
      <c r="A72" s="22" t="s">
        <v>46</v>
      </c>
      <c r="B72" s="50">
        <v>0</v>
      </c>
      <c r="C72" s="50">
        <v>0</v>
      </c>
      <c r="D72" s="50">
        <v>45</v>
      </c>
      <c r="E72" s="50">
        <v>60</v>
      </c>
      <c r="F72" s="50">
        <v>80</v>
      </c>
      <c r="G72" s="50">
        <v>85</v>
      </c>
      <c r="H72" s="50">
        <v>60</v>
      </c>
      <c r="I72" s="50">
        <v>60</v>
      </c>
      <c r="J72" s="50">
        <v>50</v>
      </c>
      <c r="K72" s="50"/>
      <c r="L72" s="50"/>
    </row>
    <row r="73" spans="1:12" ht="12.75" hidden="1" outlineLevel="1">
      <c r="A73" s="22" t="s">
        <v>45</v>
      </c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</row>
    <row r="74" spans="1:12" ht="12.75" hidden="1" outlineLevel="1">
      <c r="A74" s="22" t="s">
        <v>24</v>
      </c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</row>
    <row r="75" spans="1:12" ht="12.75" collapsed="1">
      <c r="A75" s="51" t="s">
        <v>70</v>
      </c>
      <c r="B75" s="45">
        <f>B70-B72-B73-B74</f>
        <v>-4</v>
      </c>
      <c r="C75" s="45">
        <f aca="true" t="shared" si="24" ref="C75:L75">C70-C72-C73-C74</f>
        <v>0</v>
      </c>
      <c r="D75" s="45">
        <f t="shared" si="24"/>
        <v>91</v>
      </c>
      <c r="E75" s="45">
        <f t="shared" si="24"/>
        <v>117</v>
      </c>
      <c r="F75" s="45">
        <f t="shared" si="24"/>
        <v>150</v>
      </c>
      <c r="G75" s="45">
        <f t="shared" si="24"/>
        <v>168</v>
      </c>
      <c r="H75" s="45">
        <f t="shared" si="24"/>
        <v>110</v>
      </c>
      <c r="I75" s="45">
        <f t="shared" si="24"/>
        <v>110</v>
      </c>
      <c r="J75" s="45">
        <f t="shared" si="24"/>
        <v>96</v>
      </c>
      <c r="K75" s="45">
        <f t="shared" si="24"/>
        <v>0</v>
      </c>
      <c r="L75" s="45">
        <f t="shared" si="24"/>
        <v>0</v>
      </c>
    </row>
    <row r="76" spans="1:12" ht="12.75">
      <c r="A76" s="70" t="s">
        <v>113</v>
      </c>
      <c r="B76" s="10">
        <f>IF(B53=0,0,B75/B53)</f>
        <v>-0.02</v>
      </c>
      <c r="C76" s="10">
        <f aca="true" t="shared" si="25" ref="C76:L76">IF(C53=0,0,C75/C53)</f>
        <v>0</v>
      </c>
      <c r="D76" s="10">
        <f t="shared" si="25"/>
        <v>0.07</v>
      </c>
      <c r="E76" s="10">
        <f t="shared" si="25"/>
        <v>0.078</v>
      </c>
      <c r="F76" s="10">
        <f t="shared" si="25"/>
        <v>0.075</v>
      </c>
      <c r="G76" s="10">
        <f t="shared" si="25"/>
        <v>0.0672</v>
      </c>
      <c r="H76" s="10">
        <f t="shared" si="25"/>
        <v>0.05</v>
      </c>
      <c r="I76" s="10">
        <f t="shared" si="25"/>
        <v>0.05238095238095238</v>
      </c>
      <c r="J76" s="10">
        <f t="shared" si="25"/>
        <v>0.048</v>
      </c>
      <c r="K76" s="10">
        <f t="shared" si="25"/>
        <v>0</v>
      </c>
      <c r="L76" s="10">
        <f t="shared" si="25"/>
        <v>0</v>
      </c>
    </row>
    <row r="78" spans="1:11" s="12" customFormat="1" ht="12.75">
      <c r="A78" s="1" t="s">
        <v>99</v>
      </c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2" ht="12.75" hidden="1" outlineLevel="1">
      <c r="A79" s="51" t="s">
        <v>27</v>
      </c>
      <c r="B79" s="57">
        <v>0.07</v>
      </c>
      <c r="C79" s="57">
        <v>0.07</v>
      </c>
      <c r="D79" s="57">
        <v>0.07</v>
      </c>
      <c r="E79" s="57">
        <v>0.07</v>
      </c>
      <c r="F79" s="57">
        <v>0.07</v>
      </c>
      <c r="G79" s="57">
        <v>0.07</v>
      </c>
      <c r="H79" s="57">
        <v>0.07</v>
      </c>
      <c r="I79" s="57">
        <v>0.07</v>
      </c>
      <c r="J79" s="57">
        <v>0.07</v>
      </c>
      <c r="K79" s="57"/>
      <c r="L79" s="57"/>
    </row>
    <row r="80" spans="1:12" ht="12.75" hidden="1" outlineLevel="1">
      <c r="A80" t="s">
        <v>91</v>
      </c>
      <c r="B80">
        <f>(1+B79)*B53</f>
        <v>214</v>
      </c>
      <c r="C80">
        <f aca="true" t="shared" si="26" ref="C80:K80">(1+C79)*C53</f>
        <v>535</v>
      </c>
      <c r="D80">
        <f t="shared" si="26"/>
        <v>1391</v>
      </c>
      <c r="E80">
        <f t="shared" si="26"/>
        <v>1605</v>
      </c>
      <c r="F80">
        <f t="shared" si="26"/>
        <v>2140</v>
      </c>
      <c r="G80">
        <f t="shared" si="26"/>
        <v>2675</v>
      </c>
      <c r="H80">
        <f t="shared" si="26"/>
        <v>2354</v>
      </c>
      <c r="I80">
        <f t="shared" si="26"/>
        <v>2247</v>
      </c>
      <c r="J80">
        <f t="shared" si="26"/>
        <v>2140</v>
      </c>
      <c r="K80">
        <f t="shared" si="26"/>
        <v>0</v>
      </c>
      <c r="L80">
        <f>(1+L79)*L53</f>
        <v>0</v>
      </c>
    </row>
    <row r="81" spans="1:12" ht="12.75" hidden="1" outlineLevel="1">
      <c r="A81" t="s">
        <v>92</v>
      </c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ht="12.75" hidden="1" outlineLevel="1">
      <c r="A82" s="51" t="s">
        <v>90</v>
      </c>
      <c r="B82" s="57">
        <v>0.16</v>
      </c>
      <c r="C82" s="57">
        <v>0.16</v>
      </c>
      <c r="D82" s="57">
        <v>0.15</v>
      </c>
      <c r="E82" s="57">
        <v>0.15</v>
      </c>
      <c r="F82" s="57">
        <v>0.15</v>
      </c>
      <c r="G82" s="57">
        <v>0.15</v>
      </c>
      <c r="H82" s="57">
        <v>0.15</v>
      </c>
      <c r="I82" s="57">
        <v>0.14</v>
      </c>
      <c r="J82" s="57">
        <v>0.14</v>
      </c>
      <c r="K82" s="57"/>
      <c r="L82" s="57"/>
    </row>
    <row r="83" ht="12.75" collapsed="1"/>
    <row r="85" spans="1:13" s="12" customFormat="1" ht="12.75">
      <c r="A85" s="23" t="s">
        <v>16</v>
      </c>
      <c r="B85" s="24"/>
      <c r="C85" s="25"/>
      <c r="D85" s="24"/>
      <c r="M85" s="1" t="s">
        <v>181</v>
      </c>
    </row>
    <row r="86" spans="1:12" s="4" customFormat="1" ht="12.75" outlineLevel="1">
      <c r="A86" s="4" t="s">
        <v>178</v>
      </c>
      <c r="B86" s="4" t="str">
        <f>IF(B10=B22,"AF=AC",IF(B10&gt;B22,"+AF","+AC"))</f>
        <v>+AC</v>
      </c>
      <c r="C86" s="4" t="str">
        <f aca="true" t="shared" si="27" ref="C86:L86">IF(C10=C22,"AF=AC",IF(C10&gt;C22,"+AF","+AC"))</f>
        <v>+AC</v>
      </c>
      <c r="D86" s="4" t="str">
        <f t="shared" si="27"/>
        <v>+AC</v>
      </c>
      <c r="E86" s="4" t="str">
        <f t="shared" si="27"/>
        <v>+AC</v>
      </c>
      <c r="F86" s="4" t="str">
        <f t="shared" si="27"/>
        <v>+AC</v>
      </c>
      <c r="G86" s="4" t="str">
        <f t="shared" si="27"/>
        <v>+AC</v>
      </c>
      <c r="H86" s="4" t="str">
        <f t="shared" si="27"/>
        <v>+AC</v>
      </c>
      <c r="I86" s="4" t="str">
        <f t="shared" si="27"/>
        <v>+AC</v>
      </c>
      <c r="J86" s="4" t="str">
        <f t="shared" si="27"/>
        <v>+AC</v>
      </c>
      <c r="K86" s="4" t="str">
        <f t="shared" si="27"/>
        <v>AF=AC</v>
      </c>
      <c r="L86" s="4" t="str">
        <f t="shared" si="27"/>
        <v>AF=AC</v>
      </c>
    </row>
    <row r="87" spans="1:12" s="4" customFormat="1" ht="12.75" outlineLevel="1">
      <c r="A87" s="4" t="s">
        <v>17</v>
      </c>
      <c r="B87" s="4">
        <f aca="true" t="shared" si="28" ref="B87:L87">IF(B5=0,0,B32/B5)</f>
        <v>0.1</v>
      </c>
      <c r="C87" s="4">
        <f t="shared" si="28"/>
        <v>0.2</v>
      </c>
      <c r="D87" s="4">
        <f t="shared" si="28"/>
        <v>0.16666666666666666</v>
      </c>
      <c r="E87" s="4">
        <f t="shared" si="28"/>
        <v>0.26666666666666666</v>
      </c>
      <c r="F87" s="4">
        <f t="shared" si="28"/>
        <v>0.3</v>
      </c>
      <c r="G87" s="4">
        <f t="shared" si="28"/>
        <v>0.4</v>
      </c>
      <c r="H87" s="4">
        <f t="shared" si="28"/>
        <v>0.42</v>
      </c>
      <c r="I87" s="4">
        <f t="shared" si="28"/>
        <v>0.52</v>
      </c>
      <c r="J87" s="4">
        <f t="shared" si="28"/>
        <v>0.5333333333333333</v>
      </c>
      <c r="K87" s="4">
        <f t="shared" si="28"/>
        <v>0</v>
      </c>
      <c r="L87" s="4">
        <f t="shared" si="28"/>
        <v>0</v>
      </c>
    </row>
    <row r="88" spans="1:12" s="4" customFormat="1" ht="12.75" outlineLevel="1">
      <c r="A88" s="4" t="s">
        <v>20</v>
      </c>
      <c r="B88" s="4">
        <f>IF(B10=0,0,B6/B10)</f>
        <v>1</v>
      </c>
      <c r="C88" s="4">
        <f aca="true" t="shared" si="29" ref="C88:L88">IF(C10=0,0,C6/C10)</f>
        <v>1</v>
      </c>
      <c r="D88" s="4">
        <f t="shared" si="29"/>
        <v>1</v>
      </c>
      <c r="E88" s="4">
        <f t="shared" si="29"/>
        <v>1</v>
      </c>
      <c r="F88" s="4">
        <f t="shared" si="29"/>
        <v>1</v>
      </c>
      <c r="G88" s="4">
        <f t="shared" si="29"/>
        <v>1</v>
      </c>
      <c r="H88" s="4">
        <f t="shared" si="29"/>
        <v>1</v>
      </c>
      <c r="I88" s="4">
        <f t="shared" si="29"/>
        <v>1</v>
      </c>
      <c r="J88" s="4">
        <f t="shared" si="29"/>
        <v>1</v>
      </c>
      <c r="K88" s="4">
        <f t="shared" si="29"/>
        <v>0</v>
      </c>
      <c r="L88" s="4">
        <f t="shared" si="29"/>
        <v>0</v>
      </c>
    </row>
    <row r="89" spans="1:12" s="4" customFormat="1" ht="12.75" outlineLevel="1">
      <c r="A89" s="4" t="s">
        <v>18</v>
      </c>
      <c r="B89" s="4">
        <f>Porcentajes!B17</f>
        <v>0</v>
      </c>
      <c r="C89" s="4">
        <f>Porcentajes!C17</f>
        <v>0</v>
      </c>
      <c r="D89" s="4">
        <f>Porcentajes!D17</f>
        <v>0</v>
      </c>
      <c r="E89" s="4">
        <f>Porcentajes!E17</f>
        <v>0</v>
      </c>
      <c r="F89" s="4">
        <f>Porcentajes!F17</f>
        <v>0</v>
      </c>
      <c r="G89" s="4">
        <f>Porcentajes!G17</f>
        <v>0</v>
      </c>
      <c r="H89" s="4">
        <f>Porcentajes!H17</f>
        <v>0</v>
      </c>
      <c r="I89" s="4">
        <f>Porcentajes!I17</f>
        <v>0</v>
      </c>
      <c r="J89" s="4">
        <f>Porcentajes!J17</f>
        <v>0</v>
      </c>
      <c r="K89" s="4">
        <f>Porcentajes!K17</f>
        <v>0</v>
      </c>
      <c r="L89" s="4">
        <f>Porcentajes!L17</f>
        <v>0</v>
      </c>
    </row>
    <row r="90" spans="1:12" s="4" customFormat="1" ht="12.75" outlineLevel="1">
      <c r="A90" s="4" t="s">
        <v>19</v>
      </c>
      <c r="B90" s="4">
        <f>Porcentajes!B8</f>
        <v>0</v>
      </c>
      <c r="C90" s="4">
        <f>Porcentajes!C8</f>
        <v>0</v>
      </c>
      <c r="D90" s="4">
        <f>Porcentajes!D8</f>
        <v>0</v>
      </c>
      <c r="E90" s="4">
        <f>Porcentajes!E8</f>
        <v>0</v>
      </c>
      <c r="F90" s="4">
        <f>Porcentajes!F8</f>
        <v>0</v>
      </c>
      <c r="G90" s="4">
        <f>Porcentajes!G8</f>
        <v>0</v>
      </c>
      <c r="H90" s="4">
        <f>Porcentajes!H8</f>
        <v>0</v>
      </c>
      <c r="I90" s="4">
        <f>Porcentajes!I8</f>
        <v>0</v>
      </c>
      <c r="J90" s="4">
        <f>Porcentajes!J8</f>
        <v>0</v>
      </c>
      <c r="K90" s="4">
        <f>Porcentajes!K8</f>
        <v>0</v>
      </c>
      <c r="L90" s="4">
        <f>Porcentajes!L8</f>
        <v>0</v>
      </c>
    </row>
    <row r="92" spans="1:13" s="12" customFormat="1" ht="12.75">
      <c r="A92" s="23" t="s">
        <v>22</v>
      </c>
      <c r="M92" s="1" t="s">
        <v>181</v>
      </c>
    </row>
    <row r="93" spans="1:12" s="2" customFormat="1" ht="12.75" outlineLevel="1">
      <c r="A93" s="2" t="s">
        <v>12</v>
      </c>
      <c r="B93" s="2">
        <f aca="true" t="shared" si="30" ref="B93:L93">IF(B30=0,0,(B45+B35)/B30)</f>
        <v>1</v>
      </c>
      <c r="C93" s="2">
        <f t="shared" si="30"/>
        <v>1.1</v>
      </c>
      <c r="D93" s="2">
        <f t="shared" si="30"/>
        <v>2.5</v>
      </c>
      <c r="E93" s="2">
        <f t="shared" si="30"/>
        <v>3.2</v>
      </c>
      <c r="F93" s="2">
        <f t="shared" si="30"/>
        <v>3.3</v>
      </c>
      <c r="G93" s="2">
        <f t="shared" si="30"/>
        <v>3.5</v>
      </c>
      <c r="H93" s="2">
        <f t="shared" si="30"/>
        <v>4</v>
      </c>
      <c r="I93" s="2">
        <f t="shared" si="30"/>
        <v>5</v>
      </c>
      <c r="J93" s="2">
        <f t="shared" si="30"/>
        <v>5</v>
      </c>
      <c r="K93" s="2">
        <f t="shared" si="30"/>
        <v>0</v>
      </c>
      <c r="L93" s="2">
        <f t="shared" si="30"/>
        <v>0</v>
      </c>
    </row>
    <row r="94" spans="1:12" s="2" customFormat="1" ht="12.75" outlineLevel="1">
      <c r="A94" s="2" t="s">
        <v>179</v>
      </c>
      <c r="B94" s="2" t="str">
        <f>IF(B35=B45,"Igual",IF(B45&lt;B35,"Largo","Corto"))</f>
        <v>Corto</v>
      </c>
      <c r="C94" s="2" t="str">
        <f aca="true" t="shared" si="31" ref="C94:L94">IF(C35=C45,"Igual",IF(C45&lt;C35,"Largo","Corto"))</f>
        <v>Corto</v>
      </c>
      <c r="D94" s="2" t="str">
        <f t="shared" si="31"/>
        <v>Corto</v>
      </c>
      <c r="E94" s="2" t="str">
        <f t="shared" si="31"/>
        <v>Corto</v>
      </c>
      <c r="F94" s="2" t="str">
        <f t="shared" si="31"/>
        <v>Corto</v>
      </c>
      <c r="G94" s="2" t="str">
        <f t="shared" si="31"/>
        <v>Corto</v>
      </c>
      <c r="H94" s="2" t="str">
        <f t="shared" si="31"/>
        <v>Corto</v>
      </c>
      <c r="I94" s="2" t="str">
        <f t="shared" si="31"/>
        <v>Corto</v>
      </c>
      <c r="J94" s="2" t="str">
        <f t="shared" si="31"/>
        <v>Corto</v>
      </c>
      <c r="K94" s="2" t="str">
        <f t="shared" si="31"/>
        <v>Igual</v>
      </c>
      <c r="L94" s="2" t="str">
        <f t="shared" si="31"/>
        <v>Igual</v>
      </c>
    </row>
    <row r="95" spans="1:13" s="2" customFormat="1" ht="12.75" outlineLevel="1">
      <c r="A95" s="2" t="s">
        <v>106</v>
      </c>
      <c r="B95" s="2">
        <f>IF(B45=0,0,B44/B45)</f>
        <v>0</v>
      </c>
      <c r="C95" s="2">
        <f aca="true" t="shared" si="32" ref="C95:L95">IF(C45=0,0,C44/C45)</f>
        <v>0</v>
      </c>
      <c r="D95" s="2">
        <f t="shared" si="32"/>
        <v>0</v>
      </c>
      <c r="E95" s="2">
        <f t="shared" si="32"/>
        <v>0</v>
      </c>
      <c r="F95" s="2">
        <f t="shared" si="32"/>
        <v>0</v>
      </c>
      <c r="G95" s="2">
        <f t="shared" si="32"/>
        <v>0</v>
      </c>
      <c r="H95" s="2">
        <f t="shared" si="32"/>
        <v>0</v>
      </c>
      <c r="I95" s="2">
        <f t="shared" si="32"/>
        <v>0</v>
      </c>
      <c r="J95" s="2">
        <f t="shared" si="32"/>
        <v>0</v>
      </c>
      <c r="K95" s="2">
        <f t="shared" si="32"/>
        <v>0</v>
      </c>
      <c r="L95" s="2">
        <f t="shared" si="32"/>
        <v>0</v>
      </c>
      <c r="M95" s="2" t="s">
        <v>180</v>
      </c>
    </row>
    <row r="96" spans="1:12" s="2" customFormat="1" ht="12.75" outlineLevel="1">
      <c r="A96" s="2" t="s">
        <v>23</v>
      </c>
      <c r="B96" s="2">
        <f>IF(B30=0,0,(B28)/B30)</f>
        <v>0</v>
      </c>
      <c r="C96" s="2">
        <f aca="true" t="shared" si="33" ref="C96:L96">IF(C30=0,0,(C28)/C30)</f>
        <v>0</v>
      </c>
      <c r="D96" s="2">
        <f t="shared" si="33"/>
        <v>0</v>
      </c>
      <c r="E96" s="2">
        <f t="shared" si="33"/>
        <v>0</v>
      </c>
      <c r="F96" s="2">
        <f t="shared" si="33"/>
        <v>0</v>
      </c>
      <c r="G96" s="2">
        <f t="shared" si="33"/>
        <v>0</v>
      </c>
      <c r="H96" s="2">
        <f t="shared" si="33"/>
        <v>0</v>
      </c>
      <c r="I96" s="2">
        <f t="shared" si="33"/>
        <v>0</v>
      </c>
      <c r="J96" s="2">
        <f t="shared" si="33"/>
        <v>0</v>
      </c>
      <c r="K96" s="2">
        <f t="shared" si="33"/>
        <v>0</v>
      </c>
      <c r="L96" s="2">
        <f t="shared" si="33"/>
        <v>0</v>
      </c>
    </row>
    <row r="97" spans="1:11" s="29" customFormat="1" ht="12.75">
      <c r="A97" s="58"/>
      <c r="B97" s="54"/>
      <c r="C97" s="63"/>
      <c r="D97" s="53"/>
      <c r="E97" s="64"/>
      <c r="F97" s="64"/>
      <c r="G97" s="64"/>
      <c r="H97" s="64"/>
      <c r="I97" s="64"/>
      <c r="J97" s="64"/>
      <c r="K97" s="64"/>
    </row>
    <row r="98" s="12" customFormat="1" ht="12.75">
      <c r="A98" s="23" t="s">
        <v>75</v>
      </c>
    </row>
    <row r="99" spans="1:12" ht="12.75">
      <c r="A99" t="s">
        <v>25</v>
      </c>
      <c r="B99">
        <f aca="true" t="shared" si="34" ref="B99:L99">B22-B45</f>
        <v>10</v>
      </c>
      <c r="C99">
        <f t="shared" si="34"/>
        <v>120</v>
      </c>
      <c r="D99">
        <f t="shared" si="34"/>
        <v>-50</v>
      </c>
      <c r="E99">
        <f t="shared" si="34"/>
        <v>-20</v>
      </c>
      <c r="F99">
        <f t="shared" si="34"/>
        <v>-80</v>
      </c>
      <c r="G99">
        <f t="shared" si="34"/>
        <v>-40</v>
      </c>
      <c r="H99">
        <f t="shared" si="34"/>
        <v>25</v>
      </c>
      <c r="I99">
        <f t="shared" si="34"/>
        <v>272</v>
      </c>
      <c r="J99">
        <f t="shared" si="34"/>
        <v>199</v>
      </c>
      <c r="K99">
        <f t="shared" si="34"/>
        <v>0</v>
      </c>
      <c r="L99">
        <f t="shared" si="34"/>
        <v>0</v>
      </c>
    </row>
    <row r="100" spans="1:12" ht="12.75">
      <c r="A100" t="s">
        <v>77</v>
      </c>
      <c r="B100" s="30">
        <f aca="true" t="shared" si="35" ref="B100:L100">IF(B45=0,0,B22/B45)</f>
        <v>1.1</v>
      </c>
      <c r="C100" s="30">
        <f t="shared" si="35"/>
        <v>1.5454545454545454</v>
      </c>
      <c r="D100" s="30">
        <f t="shared" si="35"/>
        <v>0.9</v>
      </c>
      <c r="E100" s="30">
        <f t="shared" si="35"/>
        <v>0.96875</v>
      </c>
      <c r="F100" s="30">
        <f t="shared" si="35"/>
        <v>0.8787878787878788</v>
      </c>
      <c r="G100" s="30">
        <f t="shared" si="35"/>
        <v>0.9428571428571428</v>
      </c>
      <c r="H100" s="30">
        <f t="shared" si="35"/>
        <v>1.0364963503649636</v>
      </c>
      <c r="I100" s="30">
        <f t="shared" si="35"/>
        <v>1.3953488372093024</v>
      </c>
      <c r="J100" s="30">
        <f t="shared" si="35"/>
        <v>1.2760055478502081</v>
      </c>
      <c r="K100" s="30">
        <f t="shared" si="35"/>
        <v>0</v>
      </c>
      <c r="L100" s="30">
        <f t="shared" si="35"/>
        <v>0</v>
      </c>
    </row>
    <row r="101" spans="1:12" ht="12.75">
      <c r="A101" t="s">
        <v>78</v>
      </c>
      <c r="B101" s="30">
        <f aca="true" t="shared" si="36" ref="B101:L101">IF((B45-B42)=0,0,(B22-B15-B20)/(B45-B42))</f>
        <v>0.3333333333333333</v>
      </c>
      <c r="C101" s="30">
        <f t="shared" si="36"/>
        <v>0.3333333333333333</v>
      </c>
      <c r="D101" s="30">
        <f t="shared" si="36"/>
        <v>0.519650655021834</v>
      </c>
      <c r="E101" s="30">
        <f t="shared" si="36"/>
        <v>0.3687707641196013</v>
      </c>
      <c r="F101" s="30">
        <f t="shared" si="36"/>
        <v>0.5616438356164384</v>
      </c>
      <c r="G101" s="30">
        <f t="shared" si="36"/>
        <v>0.725</v>
      </c>
      <c r="H101" s="30">
        <f t="shared" si="36"/>
        <v>0.6447761194029851</v>
      </c>
      <c r="I101" s="30">
        <f t="shared" si="36"/>
        <v>0.8466257668711656</v>
      </c>
      <c r="J101" s="30">
        <f t="shared" si="36"/>
        <v>0.7401812688821753</v>
      </c>
      <c r="K101" s="30">
        <f t="shared" si="36"/>
        <v>0</v>
      </c>
      <c r="L101" s="30">
        <f t="shared" si="36"/>
        <v>0</v>
      </c>
    </row>
    <row r="105" s="12" customFormat="1" ht="12.75">
      <c r="A105" s="23" t="s">
        <v>76</v>
      </c>
    </row>
    <row r="106" spans="1:12" ht="12.75">
      <c r="A106" t="s">
        <v>81</v>
      </c>
      <c r="B106" s="30">
        <f aca="true" t="shared" si="37" ref="B106:L106">IF(B22=0,0,(B53/B22))</f>
        <v>1.8181818181818181</v>
      </c>
      <c r="C106" s="30">
        <f t="shared" si="37"/>
        <v>1.4705882352941178</v>
      </c>
      <c r="D106" s="30">
        <f t="shared" si="37"/>
        <v>2.888888888888889</v>
      </c>
      <c r="E106" s="30">
        <f t="shared" si="37"/>
        <v>2.4193548387096775</v>
      </c>
      <c r="F106" s="30">
        <f t="shared" si="37"/>
        <v>3.4482758620689653</v>
      </c>
      <c r="G106" s="30">
        <f t="shared" si="37"/>
        <v>3.787878787878788</v>
      </c>
      <c r="H106" s="30">
        <f t="shared" si="37"/>
        <v>3.0985915492957745</v>
      </c>
      <c r="I106" s="30">
        <f t="shared" si="37"/>
        <v>2.1875</v>
      </c>
      <c r="J106" s="30">
        <f t="shared" si="37"/>
        <v>2.1739130434782608</v>
      </c>
      <c r="K106" s="30">
        <f t="shared" si="37"/>
        <v>0</v>
      </c>
      <c r="L106" s="30">
        <f t="shared" si="37"/>
        <v>0</v>
      </c>
    </row>
    <row r="107" spans="1:12" ht="12.75">
      <c r="A107" t="s">
        <v>80</v>
      </c>
      <c r="B107" s="30">
        <f>IF(B106=0,0,(1/B106)*365)</f>
        <v>200.75000000000003</v>
      </c>
      <c r="C107" s="30">
        <f aca="true" t="shared" si="38" ref="C107:L107">IF(C106=0,0,(1/C106)*365)</f>
        <v>248.2</v>
      </c>
      <c r="D107" s="30">
        <f t="shared" si="38"/>
        <v>126.34615384615384</v>
      </c>
      <c r="E107" s="30">
        <f t="shared" si="38"/>
        <v>150.86666666666667</v>
      </c>
      <c r="F107" s="30">
        <f t="shared" si="38"/>
        <v>105.85000000000001</v>
      </c>
      <c r="G107" s="30">
        <f t="shared" si="38"/>
        <v>96.36</v>
      </c>
      <c r="H107" s="30">
        <f t="shared" si="38"/>
        <v>117.79545454545456</v>
      </c>
      <c r="I107" s="30">
        <f t="shared" si="38"/>
        <v>166.85714285714286</v>
      </c>
      <c r="J107" s="30">
        <f t="shared" si="38"/>
        <v>167.9</v>
      </c>
      <c r="K107" s="30">
        <f t="shared" si="38"/>
        <v>0</v>
      </c>
      <c r="L107" s="30">
        <f t="shared" si="38"/>
        <v>0</v>
      </c>
    </row>
    <row r="108" spans="1:13" ht="12.75">
      <c r="A108" t="s">
        <v>79</v>
      </c>
      <c r="B108" s="30">
        <f aca="true" t="shared" si="39" ref="B108:L108">IF(B15=0,0,1/(B53/B15)*365)</f>
        <v>91.25</v>
      </c>
      <c r="C108" s="30">
        <f t="shared" si="39"/>
        <v>131.4</v>
      </c>
      <c r="D108" s="30">
        <f t="shared" si="39"/>
        <v>16.846153846153843</v>
      </c>
      <c r="E108" s="30">
        <f t="shared" si="39"/>
        <v>41.36666666666667</v>
      </c>
      <c r="F108" s="30">
        <f t="shared" si="39"/>
        <v>14.6</v>
      </c>
      <c r="G108" s="30">
        <f t="shared" si="39"/>
        <v>10.22</v>
      </c>
      <c r="H108" s="30">
        <f t="shared" si="39"/>
        <v>23.890909090909087</v>
      </c>
      <c r="I108" s="30">
        <f t="shared" si="39"/>
        <v>55.966666666666676</v>
      </c>
      <c r="J108" s="30">
        <f t="shared" si="39"/>
        <v>52.0125</v>
      </c>
      <c r="K108" s="30">
        <f t="shared" si="39"/>
        <v>0</v>
      </c>
      <c r="L108" s="30">
        <f t="shared" si="39"/>
        <v>0</v>
      </c>
      <c r="M108" s="31"/>
    </row>
    <row r="109" spans="1:13" ht="12.75">
      <c r="A109" t="s">
        <v>88</v>
      </c>
      <c r="B109" s="30">
        <f aca="true" t="shared" si="40" ref="B109:K109">IF((B16-B19)=0,0,1/(B80/(B16-B19))*365)</f>
        <v>17.05607476635514</v>
      </c>
      <c r="C109" s="30">
        <f t="shared" si="40"/>
        <v>6.822429906542055</v>
      </c>
      <c r="D109" s="30">
        <f t="shared" si="40"/>
        <v>23.35370237239396</v>
      </c>
      <c r="E109" s="30">
        <f t="shared" si="40"/>
        <v>18.42056074766355</v>
      </c>
      <c r="F109" s="30">
        <f t="shared" si="40"/>
        <v>28.142523364485985</v>
      </c>
      <c r="G109" s="30">
        <f t="shared" si="40"/>
        <v>34.11214953271028</v>
      </c>
      <c r="H109" s="30">
        <f t="shared" si="40"/>
        <v>25.73916737468139</v>
      </c>
      <c r="I109" s="30">
        <f t="shared" si="40"/>
        <v>36.71117044948821</v>
      </c>
      <c r="J109" s="30">
        <f t="shared" si="40"/>
        <v>31.55373831775701</v>
      </c>
      <c r="K109" s="30">
        <f t="shared" si="40"/>
        <v>0</v>
      </c>
      <c r="L109" s="30">
        <f>IF((L16-L19)=0,0,1/(L80/(L16-L19))*365)</f>
        <v>0</v>
      </c>
      <c r="M109" s="31"/>
    </row>
    <row r="110" spans="1:13" ht="12.75">
      <c r="A110" t="s">
        <v>89</v>
      </c>
      <c r="B110" s="30" t="e">
        <f aca="true" t="shared" si="41" ref="B110:K110">IF(B38=0,0,1/(B81/B38)*365)</f>
        <v>#DIV/0!</v>
      </c>
      <c r="C110" s="30" t="e">
        <f t="shared" si="41"/>
        <v>#DIV/0!</v>
      </c>
      <c r="D110" s="30" t="e">
        <f t="shared" si="41"/>
        <v>#DIV/0!</v>
      </c>
      <c r="E110" s="30" t="e">
        <f t="shared" si="41"/>
        <v>#DIV/0!</v>
      </c>
      <c r="F110" s="30" t="e">
        <f t="shared" si="41"/>
        <v>#DIV/0!</v>
      </c>
      <c r="G110" s="30" t="e">
        <f t="shared" si="41"/>
        <v>#DIV/0!</v>
      </c>
      <c r="H110" s="30" t="e">
        <f t="shared" si="41"/>
        <v>#DIV/0!</v>
      </c>
      <c r="I110" s="30" t="e">
        <f t="shared" si="41"/>
        <v>#DIV/0!</v>
      </c>
      <c r="J110" s="30" t="e">
        <f t="shared" si="41"/>
        <v>#DIV/0!</v>
      </c>
      <c r="K110" s="30">
        <f t="shared" si="41"/>
        <v>0</v>
      </c>
      <c r="L110" s="30">
        <f>IF(L38=0,0,1/(L81/L38)*365)</f>
        <v>0</v>
      </c>
      <c r="M110" s="31"/>
    </row>
    <row r="112" spans="1:12" s="12" customFormat="1" ht="12.75">
      <c r="A112" s="1" t="s">
        <v>67</v>
      </c>
      <c r="B112" s="1">
        <f>B50</f>
        <v>1984</v>
      </c>
      <c r="C112" s="1">
        <f aca="true" t="shared" si="42" ref="C112:L112">C50</f>
        <v>1985</v>
      </c>
      <c r="D112" s="1">
        <f t="shared" si="42"/>
        <v>1986</v>
      </c>
      <c r="E112" s="1">
        <f t="shared" si="42"/>
        <v>1987</v>
      </c>
      <c r="F112" s="1">
        <f t="shared" si="42"/>
        <v>1988</v>
      </c>
      <c r="G112" s="1">
        <f t="shared" si="42"/>
        <v>1989</v>
      </c>
      <c r="H112" s="1">
        <f t="shared" si="42"/>
        <v>1990</v>
      </c>
      <c r="I112" s="1">
        <f t="shared" si="42"/>
        <v>1991</v>
      </c>
      <c r="J112" s="1">
        <f t="shared" si="42"/>
        <v>1992</v>
      </c>
      <c r="K112" s="1">
        <f t="shared" si="42"/>
        <v>1993</v>
      </c>
      <c r="L112" s="1" t="str">
        <f t="shared" si="42"/>
        <v>PREV</v>
      </c>
    </row>
    <row r="113" spans="1:12" ht="12.75">
      <c r="A113" t="s">
        <v>35</v>
      </c>
      <c r="B113" s="10">
        <f>IF(B24=0,0,(B63+B68-B69)/B23)</f>
        <v>0.04</v>
      </c>
      <c r="C113" s="10">
        <f aca="true" t="shared" si="43" ref="C113:L113">IF(C24=0,0,(C63+C68-C69)/C23)</f>
        <v>0.05238095238095238</v>
      </c>
      <c r="D113" s="10">
        <f t="shared" si="43"/>
        <v>0.28</v>
      </c>
      <c r="E113" s="10">
        <f t="shared" si="43"/>
        <v>0.3</v>
      </c>
      <c r="F113" s="10">
        <f t="shared" si="43"/>
        <v>0.3488372093023256</v>
      </c>
      <c r="G113" s="10">
        <f t="shared" si="43"/>
        <v>0.36666666666666664</v>
      </c>
      <c r="H113" s="10">
        <f t="shared" si="43"/>
        <v>0.25</v>
      </c>
      <c r="I113" s="10">
        <f t="shared" si="43"/>
        <v>0.22</v>
      </c>
      <c r="J113" s="10">
        <f t="shared" si="43"/>
        <v>0.23</v>
      </c>
      <c r="K113" s="10">
        <f t="shared" si="43"/>
        <v>0</v>
      </c>
      <c r="L113" s="10">
        <f t="shared" si="43"/>
        <v>0</v>
      </c>
    </row>
    <row r="114" spans="1:12" ht="12.75">
      <c r="A114" t="s">
        <v>68</v>
      </c>
      <c r="B114" s="10">
        <f>IF(B53=0,0,B63/B53)</f>
        <v>0.04</v>
      </c>
      <c r="C114" s="10">
        <f aca="true" t="shared" si="44" ref="C114:L114">IF(C53=0,0,C63/C53)</f>
        <v>0.044</v>
      </c>
      <c r="D114" s="10">
        <f t="shared" si="44"/>
        <v>0.15076923076923077</v>
      </c>
      <c r="E114" s="10">
        <f t="shared" si="44"/>
        <v>0.168</v>
      </c>
      <c r="F114" s="10">
        <f t="shared" si="44"/>
        <v>0.15</v>
      </c>
      <c r="G114" s="10">
        <f t="shared" si="44"/>
        <v>0.132</v>
      </c>
      <c r="H114" s="10">
        <f t="shared" si="44"/>
        <v>0.11363636363636363</v>
      </c>
      <c r="I114" s="10">
        <f t="shared" si="44"/>
        <v>0.12571428571428572</v>
      </c>
      <c r="J114" s="10">
        <f t="shared" si="44"/>
        <v>0.138</v>
      </c>
      <c r="K114" s="10">
        <f t="shared" si="44"/>
        <v>0</v>
      </c>
      <c r="L114" s="10">
        <f t="shared" si="44"/>
        <v>0</v>
      </c>
    </row>
    <row r="115" spans="1:12" ht="12.75">
      <c r="A115" t="s">
        <v>69</v>
      </c>
      <c r="B115" s="30">
        <f>IF((B24-B17)=0,0,B53/(B23-B17))</f>
        <v>1</v>
      </c>
      <c r="C115" s="30">
        <f aca="true" t="shared" si="45" ref="C115:L115">IF((C24-C17)=0,0,C53/(C23-C17))</f>
        <v>1.1904761904761905</v>
      </c>
      <c r="D115" s="30">
        <f t="shared" si="45"/>
        <v>1.8571428571428572</v>
      </c>
      <c r="E115" s="30">
        <f t="shared" si="45"/>
        <v>1.7857142857142858</v>
      </c>
      <c r="F115" s="30">
        <f t="shared" si="45"/>
        <v>2.3255813953488373</v>
      </c>
      <c r="G115" s="30">
        <f t="shared" si="45"/>
        <v>2.7777777777777777</v>
      </c>
      <c r="H115" s="30">
        <f t="shared" si="45"/>
        <v>2.2</v>
      </c>
      <c r="I115" s="30">
        <f t="shared" si="45"/>
        <v>1.75</v>
      </c>
      <c r="J115" s="30">
        <f t="shared" si="45"/>
        <v>1.6666666666666667</v>
      </c>
      <c r="K115" s="30">
        <f t="shared" si="45"/>
        <v>0</v>
      </c>
      <c r="L115" s="30">
        <f t="shared" si="45"/>
        <v>0</v>
      </c>
    </row>
    <row r="117" spans="1:12" ht="12.75">
      <c r="A117" t="s">
        <v>74</v>
      </c>
      <c r="B117" s="10">
        <f aca="true" t="shared" si="46" ref="B117:L117">IF(B30=0,0,B70/B30)</f>
        <v>-0.04</v>
      </c>
      <c r="C117" s="10">
        <f t="shared" si="46"/>
        <v>0</v>
      </c>
      <c r="D117" s="10">
        <f t="shared" si="46"/>
        <v>0.68</v>
      </c>
      <c r="E117" s="10">
        <f t="shared" si="46"/>
        <v>0.885</v>
      </c>
      <c r="F117" s="10">
        <f t="shared" si="46"/>
        <v>1.15</v>
      </c>
      <c r="G117" s="10">
        <f t="shared" si="46"/>
        <v>1.265</v>
      </c>
      <c r="H117" s="10">
        <f t="shared" si="46"/>
        <v>0.85</v>
      </c>
      <c r="I117" s="10">
        <f t="shared" si="46"/>
        <v>0.85</v>
      </c>
      <c r="J117" s="10">
        <f t="shared" si="46"/>
        <v>0.73</v>
      </c>
      <c r="K117" s="10">
        <f t="shared" si="46"/>
        <v>0</v>
      </c>
      <c r="L117" s="10">
        <f t="shared" si="46"/>
        <v>0</v>
      </c>
    </row>
    <row r="118" spans="1:12" ht="12.75">
      <c r="A118" s="53" t="s">
        <v>73</v>
      </c>
      <c r="B118" s="54">
        <f aca="true" t="shared" si="47" ref="B118:L118">IF(B30=0,0,B75/B30)</f>
        <v>-0.04</v>
      </c>
      <c r="C118" s="54">
        <f t="shared" si="47"/>
        <v>0</v>
      </c>
      <c r="D118" s="54">
        <f t="shared" si="47"/>
        <v>0.455</v>
      </c>
      <c r="E118" s="54">
        <f t="shared" si="47"/>
        <v>0.585</v>
      </c>
      <c r="F118" s="54">
        <f t="shared" si="47"/>
        <v>0.75</v>
      </c>
      <c r="G118" s="54">
        <f t="shared" si="47"/>
        <v>0.84</v>
      </c>
      <c r="H118" s="54">
        <f t="shared" si="47"/>
        <v>0.55</v>
      </c>
      <c r="I118" s="54">
        <f t="shared" si="47"/>
        <v>0.55</v>
      </c>
      <c r="J118" s="54">
        <f t="shared" si="47"/>
        <v>0.48</v>
      </c>
      <c r="K118" s="54">
        <f t="shared" si="47"/>
        <v>0</v>
      </c>
      <c r="L118" s="54">
        <f t="shared" si="47"/>
        <v>0</v>
      </c>
    </row>
    <row r="119" spans="1:12" ht="12.75">
      <c r="A119" s="53" t="s">
        <v>71</v>
      </c>
      <c r="B119" s="54">
        <f>IF(B53=0,0,B70/B53)</f>
        <v>-0.02</v>
      </c>
      <c r="C119" s="54">
        <f aca="true" t="shared" si="48" ref="C119:L119">IF(C53=0,0,C70/C53)</f>
        <v>0</v>
      </c>
      <c r="D119" s="54">
        <f t="shared" si="48"/>
        <v>0.10461538461538461</v>
      </c>
      <c r="E119" s="54">
        <f t="shared" si="48"/>
        <v>0.118</v>
      </c>
      <c r="F119" s="54">
        <f t="shared" si="48"/>
        <v>0.115</v>
      </c>
      <c r="G119" s="54">
        <f t="shared" si="48"/>
        <v>0.1012</v>
      </c>
      <c r="H119" s="54">
        <f t="shared" si="48"/>
        <v>0.07727272727272727</v>
      </c>
      <c r="I119" s="54">
        <f t="shared" si="48"/>
        <v>0.08095238095238096</v>
      </c>
      <c r="J119" s="54">
        <f t="shared" si="48"/>
        <v>0.073</v>
      </c>
      <c r="K119" s="54">
        <f t="shared" si="48"/>
        <v>0</v>
      </c>
      <c r="L119" s="54">
        <f t="shared" si="48"/>
        <v>0</v>
      </c>
    </row>
    <row r="120" spans="1:12" ht="12.75">
      <c r="A120" s="53" t="s">
        <v>72</v>
      </c>
      <c r="B120" s="55">
        <f aca="true" t="shared" si="49" ref="B120:L120">IF(B30=0,0,B53/B30)</f>
        <v>2</v>
      </c>
      <c r="C120" s="55">
        <f t="shared" si="49"/>
        <v>2.5</v>
      </c>
      <c r="D120" s="55">
        <f t="shared" si="49"/>
        <v>6.5</v>
      </c>
      <c r="E120" s="55">
        <f t="shared" si="49"/>
        <v>7.5</v>
      </c>
      <c r="F120" s="55">
        <f t="shared" si="49"/>
        <v>10</v>
      </c>
      <c r="G120" s="55">
        <f t="shared" si="49"/>
        <v>12.5</v>
      </c>
      <c r="H120" s="55">
        <f t="shared" si="49"/>
        <v>11</v>
      </c>
      <c r="I120" s="55">
        <f t="shared" si="49"/>
        <v>10.5</v>
      </c>
      <c r="J120" s="55">
        <f t="shared" si="49"/>
        <v>10</v>
      </c>
      <c r="K120" s="55">
        <f t="shared" si="49"/>
        <v>0</v>
      </c>
      <c r="L120" s="55">
        <f t="shared" si="49"/>
        <v>0</v>
      </c>
    </row>
    <row r="121" spans="1:12" ht="12.75">
      <c r="A121" s="53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</row>
    <row r="122" spans="1:12" ht="12.75">
      <c r="A122" s="53" t="s">
        <v>36</v>
      </c>
      <c r="B122" s="55">
        <f>IF(B30=0,0,(B23/B30)*(B70/(B63+B68-B69)))</f>
        <v>-1</v>
      </c>
      <c r="C122" s="55">
        <f aca="true" t="shared" si="50" ref="C122:L122">IF(C30=0,0,(C23/C30)*(C70/(C63+C68-C69)))</f>
        <v>0</v>
      </c>
      <c r="D122" s="55">
        <f t="shared" si="50"/>
        <v>2.4285714285714284</v>
      </c>
      <c r="E122" s="55">
        <f t="shared" si="50"/>
        <v>2.9499999999999997</v>
      </c>
      <c r="F122" s="55">
        <f t="shared" si="50"/>
        <v>3.296666666666667</v>
      </c>
      <c r="G122" s="55">
        <f t="shared" si="50"/>
        <v>3.45</v>
      </c>
      <c r="H122" s="55">
        <f t="shared" si="50"/>
        <v>3.4000000000000004</v>
      </c>
      <c r="I122" s="55">
        <f t="shared" si="50"/>
        <v>3.8636363636363633</v>
      </c>
      <c r="J122" s="55">
        <f t="shared" si="50"/>
        <v>3.1739130434782608</v>
      </c>
      <c r="K122" s="55">
        <f t="shared" si="50"/>
        <v>0</v>
      </c>
      <c r="L122" s="55">
        <f t="shared" si="50"/>
        <v>0</v>
      </c>
    </row>
    <row r="123" spans="1:12" ht="12.75">
      <c r="A123" s="53" t="s">
        <v>37</v>
      </c>
      <c r="B123" s="55">
        <f aca="true" t="shared" si="51" ref="B123:L123">IF(B70=0,0,B122*(B75/B70))</f>
        <v>-1</v>
      </c>
      <c r="C123" s="55">
        <f t="shared" si="51"/>
        <v>0</v>
      </c>
      <c r="D123" s="55">
        <f t="shared" si="51"/>
        <v>1.6249999999999998</v>
      </c>
      <c r="E123" s="55">
        <f t="shared" si="51"/>
        <v>1.95</v>
      </c>
      <c r="F123" s="55">
        <f t="shared" si="51"/>
        <v>2.1500000000000004</v>
      </c>
      <c r="G123" s="55">
        <f t="shared" si="51"/>
        <v>2.290909090909091</v>
      </c>
      <c r="H123" s="55">
        <f t="shared" si="51"/>
        <v>2.2</v>
      </c>
      <c r="I123" s="55">
        <f t="shared" si="51"/>
        <v>2.5</v>
      </c>
      <c r="J123" s="55">
        <f t="shared" si="51"/>
        <v>2.0869565217391304</v>
      </c>
      <c r="K123" s="55">
        <f t="shared" si="51"/>
        <v>0</v>
      </c>
      <c r="L123" s="55">
        <f t="shared" si="51"/>
        <v>0</v>
      </c>
    </row>
    <row r="124" spans="1:12" ht="12.75">
      <c r="A124" s="53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</row>
    <row r="125" spans="1:12" ht="12.75">
      <c r="A125" s="53"/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</row>
    <row r="126" spans="1:12" ht="12.75">
      <c r="A126" s="53"/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</row>
    <row r="127" spans="1:12" ht="12.75">
      <c r="A127" s="53"/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</row>
  </sheetData>
  <sheetProtection/>
  <conditionalFormatting sqref="B87:L87">
    <cfRule type="cellIs" priority="1" dxfId="0" operator="greaterThan" stopIfTrue="1">
      <formula>0.5</formula>
    </cfRule>
  </conditionalFormatting>
  <conditionalFormatting sqref="B89:L89">
    <cfRule type="cellIs" priority="2" dxfId="0" operator="greaterThan" stopIfTrue="1">
      <formula>0.15</formula>
    </cfRule>
  </conditionalFormatting>
  <printOptions/>
  <pageMargins left="0.75" right="0.75" top="1" bottom="1" header="0.5" footer="0.5"/>
  <pageSetup horizontalDpi="200" verticalDpi="2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Y47"/>
  <sheetViews>
    <sheetView workbookViewId="0" topLeftCell="A1">
      <selection activeCell="F34" sqref="F34"/>
    </sheetView>
  </sheetViews>
  <sheetFormatPr defaultColWidth="9.140625" defaultRowHeight="12.75" outlineLevelRow="2"/>
  <cols>
    <col min="1" max="1" width="21.7109375" style="0" customWidth="1"/>
    <col min="13" max="13" width="5.7109375" style="0" customWidth="1"/>
    <col min="14" max="14" width="22.421875" style="0" customWidth="1"/>
    <col min="15" max="15" width="9.28125" style="0" bestFit="1" customWidth="1"/>
  </cols>
  <sheetData>
    <row r="1" spans="1:15" s="32" customFormat="1" ht="12.75">
      <c r="A1" s="26" t="s">
        <v>173</v>
      </c>
      <c r="B1" s="27"/>
      <c r="C1" s="28"/>
      <c r="O1" s="26" t="s">
        <v>86</v>
      </c>
    </row>
    <row r="3" spans="1:25" s="12" customFormat="1" ht="12.75">
      <c r="A3" s="1" t="s">
        <v>0</v>
      </c>
      <c r="B3" s="1">
        <f>Valores!B3</f>
        <v>1984</v>
      </c>
      <c r="C3" s="1">
        <f>B3+1</f>
        <v>1985</v>
      </c>
      <c r="D3" s="1">
        <f aca="true" t="shared" si="0" ref="D3:K3">C3+1</f>
        <v>1986</v>
      </c>
      <c r="E3" s="1">
        <f t="shared" si="0"/>
        <v>1987</v>
      </c>
      <c r="F3" s="1">
        <f t="shared" si="0"/>
        <v>1988</v>
      </c>
      <c r="G3" s="1">
        <f t="shared" si="0"/>
        <v>1989</v>
      </c>
      <c r="H3" s="1">
        <f t="shared" si="0"/>
        <v>1990</v>
      </c>
      <c r="I3" s="1">
        <f t="shared" si="0"/>
        <v>1991</v>
      </c>
      <c r="J3" s="1">
        <f t="shared" si="0"/>
        <v>1992</v>
      </c>
      <c r="K3" s="1">
        <f t="shared" si="0"/>
        <v>1993</v>
      </c>
      <c r="L3" s="1" t="s">
        <v>174</v>
      </c>
      <c r="M3" s="36"/>
      <c r="O3" s="1">
        <f>B3</f>
        <v>1984</v>
      </c>
      <c r="P3" s="1">
        <f aca="true" t="shared" si="1" ref="P3:Y3">C3</f>
        <v>1985</v>
      </c>
      <c r="Q3" s="1">
        <f t="shared" si="1"/>
        <v>1986</v>
      </c>
      <c r="R3" s="1">
        <f t="shared" si="1"/>
        <v>1987</v>
      </c>
      <c r="S3" s="1">
        <f t="shared" si="1"/>
        <v>1988</v>
      </c>
      <c r="T3" s="1">
        <f t="shared" si="1"/>
        <v>1989</v>
      </c>
      <c r="U3" s="1">
        <f t="shared" si="1"/>
        <v>1990</v>
      </c>
      <c r="V3" s="1">
        <f t="shared" si="1"/>
        <v>1991</v>
      </c>
      <c r="W3" s="1">
        <f t="shared" si="1"/>
        <v>1992</v>
      </c>
      <c r="X3" s="1">
        <f t="shared" si="1"/>
        <v>1993</v>
      </c>
      <c r="Y3" s="1" t="str">
        <f t="shared" si="1"/>
        <v>PREV</v>
      </c>
    </row>
    <row r="4" spans="1:14" ht="12.75" outlineLevel="2">
      <c r="A4" s="4" t="s">
        <v>13</v>
      </c>
      <c r="B4" s="40">
        <f>IF(Valores!B24=0,0,Valores!B4/Valores!B24)</f>
        <v>0</v>
      </c>
      <c r="C4" s="40">
        <f>IF(Valores!C24=0,0,Valores!C4/Valores!C24)</f>
        <v>0</v>
      </c>
      <c r="D4" s="40">
        <f>IF(Valores!D24=0,0,Valores!D4/Valores!D24)</f>
        <v>0</v>
      </c>
      <c r="E4" s="40">
        <f>IF(Valores!E24=0,0,Valores!E4/Valores!E24)</f>
        <v>0</v>
      </c>
      <c r="F4" s="40">
        <f>IF(Valores!F24=0,0,Valores!F4/Valores!F24)</f>
        <v>0</v>
      </c>
      <c r="G4" s="40">
        <f>IF(Valores!G24=0,0,Valores!G4/Valores!G24)</f>
        <v>0</v>
      </c>
      <c r="H4" s="40">
        <f>IF(Valores!H24=0,0,Valores!H4/Valores!H24)</f>
        <v>0</v>
      </c>
      <c r="I4" s="40">
        <f>IF(Valores!I24=0,0,Valores!I4/Valores!I24)</f>
        <v>0</v>
      </c>
      <c r="J4" s="40">
        <f>IF(Valores!J24=0,0,Valores!J4/Valores!J24)</f>
        <v>0</v>
      </c>
      <c r="K4" s="40">
        <f>IF(Valores!K24=0,0,Valores!K4/Valores!K24)</f>
        <v>0</v>
      </c>
      <c r="L4" s="40">
        <f>IF(Valores!L24=0,0,Valores!L4/Valores!L24)</f>
        <v>0</v>
      </c>
      <c r="M4" s="85"/>
      <c r="N4" s="62"/>
    </row>
    <row r="5" spans="1:14" ht="12.75" outlineLevel="2">
      <c r="A5" s="62" t="s">
        <v>103</v>
      </c>
      <c r="B5" s="40">
        <f>IF(Valores!B24=0,0,Valores!B5/Valores!B24)</f>
        <v>0.47619047619047616</v>
      </c>
      <c r="C5" s="40">
        <f>IF(Valores!C24=0,0,Valores!C5/Valores!C24)</f>
        <v>0.22727272727272727</v>
      </c>
      <c r="D5" s="40">
        <f>IF(Valores!D24=0,0,Valores!D5/Valores!D24)</f>
        <v>0.4</v>
      </c>
      <c r="E5" s="40">
        <f>IF(Valores!E24=0,0,Valores!E5/Valores!E24)</f>
        <v>0.32608695652173914</v>
      </c>
      <c r="F5" s="40">
        <f>IF(Valores!F24=0,0,Valores!F5/Valores!F24)</f>
        <v>0.40816326530612246</v>
      </c>
      <c r="G5" s="40">
        <f>IF(Valores!G24=0,0,Valores!G5/Valores!G24)</f>
        <v>0.37735849056603776</v>
      </c>
      <c r="H5" s="40">
        <f>IF(Valores!H24=0,0,Valores!H5/Valores!H24)</f>
        <v>0.4132231404958678</v>
      </c>
      <c r="I5" s="40">
        <f>IF(Valores!I24=0,0,Valores!I5/Valores!I24)</f>
        <v>0.3424657534246575</v>
      </c>
      <c r="J5" s="40">
        <f>IF(Valores!J24=0,0,Valores!J5/Valores!J24)</f>
        <v>0.39473684210526316</v>
      </c>
      <c r="K5" s="40">
        <f>IF(Valores!K24=0,0,Valores!K5/Valores!K24)</f>
        <v>0</v>
      </c>
      <c r="L5" s="40">
        <f>IF(Valores!L24=0,0,Valores!L5/Valores!L24)</f>
        <v>0</v>
      </c>
      <c r="M5" s="85"/>
      <c r="N5" s="62"/>
    </row>
    <row r="6" spans="1:14" ht="12.75" outlineLevel="2">
      <c r="A6" s="62" t="s">
        <v>21</v>
      </c>
      <c r="B6" s="40">
        <f>IF(Valores!B24=0,0,Valores!B6/Valores!B24)</f>
        <v>0.47619047619047616</v>
      </c>
      <c r="C6" s="40">
        <f>IF(Valores!C24=0,0,Valores!C6/Valores!C24)</f>
        <v>0.22727272727272727</v>
      </c>
      <c r="D6" s="40">
        <f>IF(Valores!D24=0,0,Valores!D6/Valores!D24)</f>
        <v>0.4</v>
      </c>
      <c r="E6" s="40">
        <f>IF(Valores!E24=0,0,Valores!E6/Valores!E24)</f>
        <v>0.32608695652173914</v>
      </c>
      <c r="F6" s="40">
        <f>IF(Valores!F24=0,0,Valores!F6/Valores!F24)</f>
        <v>0.40816326530612246</v>
      </c>
      <c r="G6" s="40">
        <f>IF(Valores!G24=0,0,Valores!G6/Valores!G24)</f>
        <v>0.37735849056603776</v>
      </c>
      <c r="H6" s="40">
        <f>IF(Valores!H24=0,0,Valores!H6/Valores!H24)</f>
        <v>0.4132231404958678</v>
      </c>
      <c r="I6" s="40">
        <f>IF(Valores!I24=0,0,Valores!I6/Valores!I24)</f>
        <v>0.3424657534246575</v>
      </c>
      <c r="J6" s="40">
        <f>IF(Valores!J24=0,0,Valores!J6/Valores!J24)</f>
        <v>0.39473684210526316</v>
      </c>
      <c r="K6" s="40">
        <f>IF(Valores!K24=0,0,Valores!K6/Valores!K24)</f>
        <v>0</v>
      </c>
      <c r="L6" s="40">
        <f>IF(Valores!L24=0,0,Valores!L6/Valores!L24)</f>
        <v>0</v>
      </c>
      <c r="M6" s="85"/>
      <c r="N6" s="62"/>
    </row>
    <row r="7" spans="1:14" ht="12.75" outlineLevel="2">
      <c r="A7" s="4" t="s">
        <v>14</v>
      </c>
      <c r="B7" s="40">
        <f>IF(Valores!B24=0,0,Valores!B7/Valores!B24)</f>
        <v>0</v>
      </c>
      <c r="C7" s="40">
        <f>IF(Valores!C24=0,0,Valores!C7/Valores!C24)</f>
        <v>0</v>
      </c>
      <c r="D7" s="40">
        <f>IF(Valores!D24=0,0,Valores!D7/Valores!D24)</f>
        <v>0</v>
      </c>
      <c r="E7" s="40">
        <f>IF(Valores!E24=0,0,Valores!E7/Valores!E24)</f>
        <v>0</v>
      </c>
      <c r="F7" s="40">
        <f>IF(Valores!F24=0,0,Valores!F7/Valores!F24)</f>
        <v>0</v>
      </c>
      <c r="G7" s="40">
        <f>IF(Valores!G24=0,0,Valores!G7/Valores!G24)</f>
        <v>0</v>
      </c>
      <c r="H7" s="40">
        <f>IF(Valores!H24=0,0,Valores!H7/Valores!H24)</f>
        <v>0</v>
      </c>
      <c r="I7" s="40">
        <f>IF(Valores!I24=0,0,Valores!I7/Valores!I24)</f>
        <v>0</v>
      </c>
      <c r="J7" s="40">
        <f>IF(Valores!J24=0,0,Valores!J7/Valores!J24)</f>
        <v>0</v>
      </c>
      <c r="K7" s="40">
        <f>IF(Valores!K24=0,0,Valores!K7/Valores!K24)</f>
        <v>0</v>
      </c>
      <c r="L7" s="40">
        <f>IF(Valores!L24=0,0,Valores!L7/Valores!L24)</f>
        <v>0</v>
      </c>
      <c r="M7" s="85"/>
      <c r="N7" s="62"/>
    </row>
    <row r="8" spans="1:14" ht="12.75" outlineLevel="2">
      <c r="A8" s="4" t="s">
        <v>15</v>
      </c>
      <c r="B8" s="40">
        <f>IF(Valores!B24=0,0,Valores!B8/Valores!B24)</f>
        <v>0</v>
      </c>
      <c r="C8" s="40">
        <f>IF(Valores!C24=0,0,Valores!C8/Valores!C24)</f>
        <v>0</v>
      </c>
      <c r="D8" s="40">
        <f>IF(Valores!D24=0,0,Valores!D8/Valores!D24)</f>
        <v>0</v>
      </c>
      <c r="E8" s="40">
        <f>IF(Valores!E24=0,0,Valores!E8/Valores!E24)</f>
        <v>0</v>
      </c>
      <c r="F8" s="40">
        <f>IF(Valores!F24=0,0,Valores!F8/Valores!F24)</f>
        <v>0</v>
      </c>
      <c r="G8" s="40">
        <f>IF(Valores!G24=0,0,Valores!G8/Valores!G24)</f>
        <v>0</v>
      </c>
      <c r="H8" s="40">
        <f>IF(Valores!H24=0,0,Valores!H8/Valores!H24)</f>
        <v>0</v>
      </c>
      <c r="I8" s="40">
        <f>IF(Valores!I24=0,0,Valores!I8/Valores!I24)</f>
        <v>0</v>
      </c>
      <c r="J8" s="40">
        <f>IF(Valores!J24=0,0,Valores!J8/Valores!J24)</f>
        <v>0</v>
      </c>
      <c r="K8" s="40">
        <f>IF(Valores!K24=0,0,Valores!K8/Valores!K24)</f>
        <v>0</v>
      </c>
      <c r="L8" s="40">
        <f>IF(Valores!L24=0,0,Valores!L8/Valores!L24)</f>
        <v>0</v>
      </c>
      <c r="M8" s="85"/>
      <c r="N8" s="62"/>
    </row>
    <row r="9" spans="1:14" ht="12.75" outlineLevel="2">
      <c r="A9" s="4" t="s">
        <v>43</v>
      </c>
      <c r="B9" s="40">
        <f>IF(Valores!B24=0,0,Valores!B9/Valores!B24)</f>
        <v>0.47619047619047616</v>
      </c>
      <c r="C9" s="40">
        <f>IF(Valores!C24=0,0,Valores!C9/Valores!C24)</f>
        <v>0.22727272727272727</v>
      </c>
      <c r="D9" s="40">
        <f>IF(Valores!D24=0,0,Valores!D9/Valores!D24)</f>
        <v>0.4</v>
      </c>
      <c r="E9" s="40">
        <f>IF(Valores!E24=0,0,Valores!E9/Valores!E24)</f>
        <v>0.32608695652173914</v>
      </c>
      <c r="F9" s="40">
        <f>IF(Valores!F24=0,0,Valores!F9/Valores!F24)</f>
        <v>0.40816326530612246</v>
      </c>
      <c r="G9" s="40">
        <f>IF(Valores!G24=0,0,Valores!G9/Valores!G24)</f>
        <v>0.37735849056603776</v>
      </c>
      <c r="H9" s="40">
        <f>IF(Valores!H24=0,0,Valores!H9/Valores!H24)</f>
        <v>0.4132231404958678</v>
      </c>
      <c r="I9" s="40">
        <f>IF(Valores!I24=0,0,Valores!I9/Valores!I24)</f>
        <v>0.3424657534246575</v>
      </c>
      <c r="J9" s="40">
        <f>IF(Valores!J24=0,0,Valores!J9/Valores!J24)</f>
        <v>0.39473684210526316</v>
      </c>
      <c r="K9" s="40">
        <f>IF(Valores!K24=0,0,Valores!K9/Valores!K24)</f>
        <v>0</v>
      </c>
      <c r="L9" s="40">
        <f>IF(Valores!L24=0,0,Valores!L9/Valores!L24)</f>
        <v>0</v>
      </c>
      <c r="M9" s="85"/>
      <c r="N9" s="62"/>
    </row>
    <row r="10" spans="1:25" ht="12.75" outlineLevel="2">
      <c r="A10" s="3" t="s">
        <v>2</v>
      </c>
      <c r="B10" s="43">
        <f>IF(Valores!B24=0,0,Valores!B10/Valores!B24)</f>
        <v>0.47619047619047616</v>
      </c>
      <c r="C10" s="43">
        <f>IF(Valores!C24=0,0,Valores!C10/Valores!C24)</f>
        <v>0.22727272727272727</v>
      </c>
      <c r="D10" s="43">
        <f>IF(Valores!D24=0,0,Valores!D10/Valores!D24)</f>
        <v>0.4</v>
      </c>
      <c r="E10" s="43">
        <f>IF(Valores!E24=0,0,Valores!E10/Valores!E24)</f>
        <v>0.32608695652173914</v>
      </c>
      <c r="F10" s="43">
        <f>IF(Valores!F24=0,0,Valores!F10/Valores!F24)</f>
        <v>0.40816326530612246</v>
      </c>
      <c r="G10" s="43">
        <f>IF(Valores!G24=0,0,Valores!G10/Valores!G24)</f>
        <v>0.37735849056603776</v>
      </c>
      <c r="H10" s="43">
        <f>IF(Valores!H24=0,0,Valores!H10/Valores!H24)</f>
        <v>0.4132231404958678</v>
      </c>
      <c r="I10" s="43">
        <f>IF(Valores!I24=0,0,Valores!I10/Valores!I24)</f>
        <v>0.3424657534246575</v>
      </c>
      <c r="J10" s="43">
        <f>IF(Valores!J24=0,0,Valores!J10/Valores!J24)</f>
        <v>0.39473684210526316</v>
      </c>
      <c r="K10" s="43">
        <f>IF(Valores!K24=0,0,Valores!K10/Valores!K24)</f>
        <v>0</v>
      </c>
      <c r="L10" s="43">
        <f>IF(Valores!L24=0,0,Valores!L10/Valores!L24)</f>
        <v>0</v>
      </c>
      <c r="M10" s="85"/>
      <c r="N10" s="3" t="s">
        <v>175</v>
      </c>
      <c r="O10" s="43">
        <f>IF(O23=0,0,(Valores!B10-Valores!B32)/O23)</f>
        <v>0.5625</v>
      </c>
      <c r="P10" s="43">
        <f>IF(P23=0,0,(Valores!C10-Valores!C32)/P23)</f>
        <v>0.27586206896551724</v>
      </c>
      <c r="Q10" s="43">
        <f>IF(Q23=0,0,(Valores!D10-Valores!D32)/Q23)</f>
        <v>0.5827505827505828</v>
      </c>
      <c r="R10" s="43">
        <f>IF(R23=0,0,(Valores!E10-Valores!E32)/R23)</f>
        <v>0.43912175648702595</v>
      </c>
      <c r="S10" s="43">
        <f>IF(S23=0,0,(Valores!F10-Valores!F32)/S23)</f>
        <v>0.49557522123893805</v>
      </c>
      <c r="T10" s="43">
        <f>IF(T23=0,0,(Valores!G10-Valores!G32)/T23)</f>
        <v>0.4</v>
      </c>
      <c r="U10" s="43">
        <f>IF(U23=0,0,(Valores!H10-Valores!H32)/U23)</f>
        <v>0.4461538461538462</v>
      </c>
      <c r="V10" s="43">
        <f>IF(V23=0,0,(Valores!I10-Valores!I32)/V23)</f>
        <v>0.2863961813842482</v>
      </c>
      <c r="W10" s="43">
        <f>IF(W23=0,0,(Valores!J10-Valores!J32)/W23)</f>
        <v>0.345679012345679</v>
      </c>
      <c r="X10" s="43">
        <f>IF(X23=0,0,(Valores!K10-Valores!K32)/X23)</f>
        <v>0</v>
      </c>
      <c r="Y10" s="43">
        <f>IF(Y23=0,0,(Valores!L10-Valores!L32)/Y23)</f>
        <v>0</v>
      </c>
    </row>
    <row r="11" spans="1:14" ht="12.75" outlineLevel="1">
      <c r="A11" s="36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86"/>
      <c r="N11" s="29"/>
    </row>
    <row r="12" spans="1:14" ht="12.75" outlineLevel="2">
      <c r="A12" s="38" t="s">
        <v>29</v>
      </c>
      <c r="B12" s="40">
        <f>IF(Valores!B24=0,0,Valores!B12/Valores!B24)</f>
        <v>0.09523809523809523</v>
      </c>
      <c r="C12" s="40">
        <f>IF(Valores!C24=0,0,Valores!C12/Valores!C24)</f>
        <v>0.06818181818181818</v>
      </c>
      <c r="D12" s="40">
        <f>IF(Valores!D24=0,0,Valores!D12/Valores!D24)</f>
        <v>0.02666666666666667</v>
      </c>
      <c r="E12" s="40">
        <f>IF(Valores!E24=0,0,Valores!E12/Valores!E24)</f>
        <v>0.021739130434782608</v>
      </c>
      <c r="F12" s="40">
        <f>IF(Valores!F24=0,0,Valores!F12/Valores!F24)</f>
        <v>0.01020408163265306</v>
      </c>
      <c r="G12" s="40">
        <f>IF(Valores!G24=0,0,Valores!G12/Valores!G24)</f>
        <v>0.009433962264150943</v>
      </c>
      <c r="H12" s="40">
        <f>IF(Valores!H24=0,0,Valores!H12/Valores!H24)</f>
        <v>0.01652892561983471</v>
      </c>
      <c r="I12" s="40">
        <f>IF(Valores!I24=0,0,Valores!I12/Valores!I24)</f>
        <v>0.017123287671232876</v>
      </c>
      <c r="J12" s="40">
        <f>IF(Valores!J24=0,0,Valores!J12/Valores!J24)</f>
        <v>0.019736842105263157</v>
      </c>
      <c r="K12" s="40">
        <f>IF(Valores!K24=0,0,Valores!K12/Valores!K24)</f>
        <v>0</v>
      </c>
      <c r="L12" s="40">
        <f>IF(Valores!L24=0,0,Valores!L12/Valores!L24)</f>
        <v>0</v>
      </c>
      <c r="M12" s="85"/>
      <c r="N12" s="4"/>
    </row>
    <row r="13" spans="1:14" ht="12.75" outlineLevel="2">
      <c r="A13" s="38" t="s">
        <v>30</v>
      </c>
      <c r="B13" s="40">
        <f>IF(Valores!B24=0,0,Valores!B13/Valores!B24)</f>
        <v>0.09523809523809523</v>
      </c>
      <c r="C13" s="40">
        <f>IF(Valores!C24=0,0,Valores!C13/Valores!C24)</f>
        <v>0.06818181818181818</v>
      </c>
      <c r="D13" s="40">
        <f>IF(Valores!D24=0,0,Valores!D13/Valores!D24)</f>
        <v>0.02666666666666667</v>
      </c>
      <c r="E13" s="40">
        <f>IF(Valores!E24=0,0,Valores!E13/Valores!E24)</f>
        <v>0.043478260869565216</v>
      </c>
      <c r="F13" s="40">
        <f>IF(Valores!F24=0,0,Valores!F13/Valores!F24)</f>
        <v>0.02040816326530612</v>
      </c>
      <c r="G13" s="40">
        <f>IF(Valores!G24=0,0,Valores!G13/Valores!G24)</f>
        <v>0.018867924528301886</v>
      </c>
      <c r="H13" s="40">
        <f>IF(Valores!H24=0,0,Valores!H13/Valores!H24)</f>
        <v>0.024793388429752067</v>
      </c>
      <c r="I13" s="40">
        <f>IF(Valores!I24=0,0,Valores!I13/Valores!I24)</f>
        <v>0.0273972602739726</v>
      </c>
      <c r="J13" s="40">
        <f>IF(Valores!J24=0,0,Valores!J13/Valores!J24)</f>
        <v>0.019736842105263157</v>
      </c>
      <c r="K13" s="40">
        <f>IF(Valores!K24=0,0,Valores!K13/Valores!K24)</f>
        <v>0</v>
      </c>
      <c r="L13" s="40">
        <f>IF(Valores!L24=0,0,Valores!L13/Valores!L24)</f>
        <v>0</v>
      </c>
      <c r="M13" s="85"/>
      <c r="N13" s="4"/>
    </row>
    <row r="14" spans="1:14" ht="12.75" outlineLevel="2">
      <c r="A14" s="38" t="s">
        <v>31</v>
      </c>
      <c r="B14" s="40">
        <f>IF(Valores!B24=0,0,Valores!B14/Valores!B24)</f>
        <v>0.047619047619047616</v>
      </c>
      <c r="C14" s="40">
        <f>IF(Valores!C24=0,0,Valores!C14/Valores!C24)</f>
        <v>0.2727272727272727</v>
      </c>
      <c r="D14" s="40">
        <f>IF(Valores!D24=0,0,Valores!D14/Valores!D24)</f>
        <v>0.02666666666666667</v>
      </c>
      <c r="E14" s="40">
        <f>IF(Valores!E24=0,0,Valores!E14/Valores!E24)</f>
        <v>0.11956521739130435</v>
      </c>
      <c r="F14" s="40">
        <f>IF(Valores!F24=0,0,Valores!F14/Valores!F24)</f>
        <v>0.05102040816326531</v>
      </c>
      <c r="G14" s="40">
        <f>IF(Valores!G24=0,0,Valores!G14/Valores!G24)</f>
        <v>0.03773584905660377</v>
      </c>
      <c r="H14" s="40">
        <f>IF(Valores!H24=0,0,Valores!H14/Valores!H24)</f>
        <v>0.07768595041322314</v>
      </c>
      <c r="I14" s="40">
        <f>IF(Valores!I24=0,0,Valores!I14/Valores!I24)</f>
        <v>0.17602739726027397</v>
      </c>
      <c r="J14" s="40">
        <f>IF(Valores!J24=0,0,Valores!J14/Valores!J24)</f>
        <v>0.14802631578947367</v>
      </c>
      <c r="K14" s="40">
        <f>IF(Valores!K24=0,0,Valores!K14/Valores!K24)</f>
        <v>0</v>
      </c>
      <c r="L14" s="40">
        <f>IF(Valores!L24=0,0,Valores!L14/Valores!L24)</f>
        <v>0</v>
      </c>
      <c r="M14" s="85"/>
      <c r="N14" s="4"/>
    </row>
    <row r="15" spans="1:25" ht="12.75" outlineLevel="2">
      <c r="A15" s="4" t="s">
        <v>42</v>
      </c>
      <c r="B15" s="42">
        <f>IF(Valores!B24=0,0,Valores!B15/Valores!B24)</f>
        <v>0.23809523809523808</v>
      </c>
      <c r="C15" s="42">
        <f>IF(Valores!C24=0,0,Valores!C15/Valores!C24)</f>
        <v>0.4090909090909091</v>
      </c>
      <c r="D15" s="42">
        <f>IF(Valores!D24=0,0,Valores!D15/Valores!D24)</f>
        <v>0.08</v>
      </c>
      <c r="E15" s="42">
        <f>IF(Valores!E24=0,0,Valores!E15/Valores!E24)</f>
        <v>0.18478260869565216</v>
      </c>
      <c r="F15" s="42">
        <f>IF(Valores!F24=0,0,Valores!F15/Valores!F24)</f>
        <v>0.08163265306122448</v>
      </c>
      <c r="G15" s="42">
        <f>IF(Valores!G24=0,0,Valores!G15/Valores!G24)</f>
        <v>0.0660377358490566</v>
      </c>
      <c r="H15" s="42">
        <f>IF(Valores!H24=0,0,Valores!H15/Valores!H24)</f>
        <v>0.11900826446280992</v>
      </c>
      <c r="I15" s="42">
        <f>IF(Valores!I24=0,0,Valores!I15/Valores!I24)</f>
        <v>0.22054794520547946</v>
      </c>
      <c r="J15" s="42">
        <f>IF(Valores!J24=0,0,Valores!J15/Valores!J24)</f>
        <v>0.1875</v>
      </c>
      <c r="K15" s="42">
        <f>IF(Valores!K24=0,0,Valores!K15/Valores!K24)</f>
        <v>0</v>
      </c>
      <c r="L15" s="42">
        <f>IF(Valores!L24=0,0,Valores!L15/Valores!L24)</f>
        <v>0</v>
      </c>
      <c r="M15" s="87"/>
      <c r="N15" s="84" t="s">
        <v>177</v>
      </c>
      <c r="O15" s="10">
        <f>IF(O23=0,0,Valores!B15/O23)</f>
        <v>0.3125</v>
      </c>
      <c r="P15" s="10">
        <f>IF(P23=0,0,Valores!C15/P23)</f>
        <v>0.6206896551724138</v>
      </c>
      <c r="Q15" s="10">
        <f>IF(Q23=0,0,Valores!D15/Q23)</f>
        <v>0.13986013986013987</v>
      </c>
      <c r="R15" s="10">
        <f>IF(R23=0,0,Valores!E15/R23)</f>
        <v>0.3393213572854291</v>
      </c>
      <c r="S15" s="10">
        <f>IF(S23=0,0,Valores!F15/S23)</f>
        <v>0.1415929203539823</v>
      </c>
      <c r="T15" s="10">
        <f>IF(T23=0,0,Valores!G15/T23)</f>
        <v>0.11666666666666667</v>
      </c>
      <c r="U15" s="10">
        <f>IF(U23=0,0,Valores!H15/U23)</f>
        <v>0.22153846153846155</v>
      </c>
      <c r="V15" s="10">
        <f>IF(V23=0,0,Valores!I15/V23)</f>
        <v>0.38424821002386633</v>
      </c>
      <c r="W15" s="10">
        <f>IF(W23=0,0,Valores!J15/W23)</f>
        <v>0.35185185185185186</v>
      </c>
      <c r="X15" s="10">
        <f>IF(X23=0,0,Valores!K15/X23)</f>
        <v>0</v>
      </c>
      <c r="Y15" s="10">
        <f>IF(Y23=0,0,Valores!L15/Y23)</f>
        <v>0</v>
      </c>
    </row>
    <row r="16" spans="1:25" ht="12.75" outlineLevel="2">
      <c r="A16" s="4" t="s">
        <v>3</v>
      </c>
      <c r="B16" s="40">
        <f>IF(Valores!B24=0,0,Valores!B16/Valores!B24)</f>
        <v>0.047619047619047616</v>
      </c>
      <c r="C16" s="40">
        <f>IF(Valores!C24=0,0,Valores!C16/Valores!C24)</f>
        <v>0.022727272727272728</v>
      </c>
      <c r="D16" s="40">
        <f>IF(Valores!D24=0,0,Valores!D16/Valores!D24)</f>
        <v>0.11866666666666667</v>
      </c>
      <c r="E16" s="40">
        <f>IF(Valores!E24=0,0,Valores!E16/Valores!E24)</f>
        <v>0.08804347826086957</v>
      </c>
      <c r="F16" s="40">
        <f>IF(Valores!F24=0,0,Valores!F16/Valores!F24)</f>
        <v>0.1683673469387755</v>
      </c>
      <c r="G16" s="40">
        <f>IF(Valores!G24=0,0,Valores!G16/Valores!G24)</f>
        <v>0.2358490566037736</v>
      </c>
      <c r="H16" s="40">
        <f>IF(Valores!H24=0,0,Valores!H16/Valores!H24)</f>
        <v>0.1371900826446281</v>
      </c>
      <c r="I16" s="40">
        <f>IF(Valores!I24=0,0,Valores!I16/Valores!I24)</f>
        <v>0.1547945205479452</v>
      </c>
      <c r="J16" s="40">
        <f>IF(Valores!J24=0,0,Valores!J16/Valores!J24)</f>
        <v>0.12171052631578948</v>
      </c>
      <c r="K16" s="40">
        <f>IF(Valores!K24=0,0,Valores!K16/Valores!K24)</f>
        <v>0</v>
      </c>
      <c r="L16" s="40">
        <f>IF(Valores!L24=0,0,Valores!L16/Valores!L24)</f>
        <v>0</v>
      </c>
      <c r="M16" s="85"/>
      <c r="N16" s="84" t="s">
        <v>176</v>
      </c>
      <c r="O16" s="10">
        <f>IF(O23=0,0,Valores!B16/O23)</f>
        <v>0.0625</v>
      </c>
      <c r="P16" s="10">
        <f>IF(P23=0,0,Valores!C16/P23)</f>
        <v>0.034482758620689655</v>
      </c>
      <c r="Q16" s="10">
        <f>IF(Q23=0,0,Valores!D16/Q23)</f>
        <v>0.20745920745920746</v>
      </c>
      <c r="R16" s="10">
        <f>IF(R23=0,0,Valores!E16/R23)</f>
        <v>0.16167664670658682</v>
      </c>
      <c r="S16" s="10">
        <f>IF(S23=0,0,Valores!F16/S23)</f>
        <v>0.2920353982300885</v>
      </c>
      <c r="T16" s="10">
        <f>IF(T23=0,0,Valores!G16/T23)</f>
        <v>0.4166666666666667</v>
      </c>
      <c r="U16" s="10">
        <f>IF(U23=0,0,Valores!H16/U23)</f>
        <v>0.2553846153846154</v>
      </c>
      <c r="V16" s="10">
        <f>IF(V23=0,0,Valores!I16/V23)</f>
        <v>0.26968973747016706</v>
      </c>
      <c r="W16" s="10">
        <f>IF(W23=0,0,Valores!J16/W23)</f>
        <v>0.22839506172839505</v>
      </c>
      <c r="X16" s="10">
        <f>IF(X23=0,0,Valores!K16/X23)</f>
        <v>0</v>
      </c>
      <c r="Y16" s="10">
        <f>IF(Y23=0,0,Valores!L16/Y23)</f>
        <v>0</v>
      </c>
    </row>
    <row r="17" spans="1:25" ht="12.75" outlineLevel="2">
      <c r="A17" s="4" t="s">
        <v>39</v>
      </c>
      <c r="B17" s="40">
        <f>IF(Valores!B24=0,0,Valores!B17/Valores!B24)</f>
        <v>0</v>
      </c>
      <c r="C17" s="40">
        <f>IF(Valores!C24=0,0,Valores!C17/Valores!C24)</f>
        <v>0</v>
      </c>
      <c r="D17" s="40">
        <f>IF(Valores!D24=0,0,Valores!D17/Valores!D24)</f>
        <v>0</v>
      </c>
      <c r="E17" s="40">
        <f>IF(Valores!E24=0,0,Valores!E17/Valores!E24)</f>
        <v>0</v>
      </c>
      <c r="F17" s="40">
        <f>IF(Valores!F24=0,0,Valores!F17/Valores!F24)</f>
        <v>0</v>
      </c>
      <c r="G17" s="40">
        <f>IF(Valores!G24=0,0,Valores!G17/Valores!G24)</f>
        <v>0</v>
      </c>
      <c r="H17" s="40">
        <f>IF(Valores!H24=0,0,Valores!H17/Valores!H24)</f>
        <v>0</v>
      </c>
      <c r="I17" s="40">
        <f>IF(Valores!I24=0,0,Valores!I17/Valores!I24)</f>
        <v>0</v>
      </c>
      <c r="J17" s="40">
        <f>IF(Valores!J24=0,0,Valores!J17/Valores!J24)</f>
        <v>0</v>
      </c>
      <c r="K17" s="40">
        <f>IF(Valores!K24=0,0,Valores!K17/Valores!K24)</f>
        <v>0</v>
      </c>
      <c r="L17" s="40">
        <f>IF(Valores!L24=0,0,Valores!L17/Valores!L24)</f>
        <v>0</v>
      </c>
      <c r="M17" s="85"/>
      <c r="N17" s="4" t="s">
        <v>39</v>
      </c>
      <c r="O17" s="10">
        <f>IF(O23=0,0,Valores!B17/O23)</f>
        <v>0</v>
      </c>
      <c r="P17" s="10">
        <f>IF(P23=0,0,Valores!C17/P23)</f>
        <v>0</v>
      </c>
      <c r="Q17" s="10">
        <f>IF(Q23=0,0,Valores!D17/Q23)</f>
        <v>0</v>
      </c>
      <c r="R17" s="10">
        <f>IF(R23=0,0,Valores!E17/R23)</f>
        <v>0</v>
      </c>
      <c r="S17" s="10">
        <f>IF(S23=0,0,Valores!F17/S23)</f>
        <v>0</v>
      </c>
      <c r="T17" s="10">
        <f>IF(T23=0,0,Valores!G17/T23)</f>
        <v>0</v>
      </c>
      <c r="U17" s="10">
        <f>IF(U23=0,0,Valores!H17/U23)</f>
        <v>0</v>
      </c>
      <c r="V17" s="10">
        <f>IF(V23=0,0,Valores!I17/V23)</f>
        <v>0</v>
      </c>
      <c r="W17" s="10">
        <f>IF(W23=0,0,Valores!J17/W23)</f>
        <v>0</v>
      </c>
      <c r="X17" s="10">
        <f>IF(X23=0,0,Valores!K17/X23)</f>
        <v>0</v>
      </c>
      <c r="Y17" s="10">
        <f>IF(Y23=0,0,Valores!L17/Y23)</f>
        <v>0</v>
      </c>
    </row>
    <row r="18" spans="1:25" ht="12.75" outlineLevel="2">
      <c r="A18" s="4" t="s">
        <v>40</v>
      </c>
      <c r="B18" s="40">
        <f>IF(Valores!B24=0,0,Valores!B18/Valores!B24)</f>
        <v>0.047619047619047616</v>
      </c>
      <c r="C18" s="40">
        <f>IF(Valores!C24=0,0,Valores!C18/Valores!C24)</f>
        <v>0.045454545454545456</v>
      </c>
      <c r="D18" s="40">
        <f>IF(Valores!D24=0,0,Valores!D18/Valores!D24)</f>
        <v>0.04</v>
      </c>
      <c r="E18" s="40">
        <f>IF(Valores!E24=0,0,Valores!E18/Valores!E24)</f>
        <v>0.03260869565217391</v>
      </c>
      <c r="F18" s="40">
        <f>IF(Valores!F24=0,0,Valores!F18/Valores!F24)</f>
        <v>0.04081632653061224</v>
      </c>
      <c r="G18" s="40">
        <f>IF(Valores!G24=0,0,Valores!G18/Valores!G24)</f>
        <v>0.03773584905660377</v>
      </c>
      <c r="H18" s="40">
        <f>IF(Valores!H24=0,0,Valores!H18/Valores!H24)</f>
        <v>0.04132231404958678</v>
      </c>
      <c r="I18" s="40">
        <f>IF(Valores!I24=0,0,Valores!I18/Valores!I24)</f>
        <v>0.03424657534246575</v>
      </c>
      <c r="J18" s="40">
        <f>IF(Valores!J24=0,0,Valores!J18/Valores!J24)</f>
        <v>0.039473684210526314</v>
      </c>
      <c r="K18" s="40">
        <f>IF(Valores!K24=0,0,Valores!K18/Valores!K24)</f>
        <v>0</v>
      </c>
      <c r="L18" s="40">
        <f>IF(Valores!L24=0,0,Valores!L18/Valores!L24)</f>
        <v>0</v>
      </c>
      <c r="M18" s="85"/>
      <c r="N18" s="4" t="s">
        <v>40</v>
      </c>
      <c r="O18" s="10">
        <f>IF(O23=0,0,Valores!B18/O23)</f>
        <v>0.0625</v>
      </c>
      <c r="P18" s="10">
        <f>IF(P23=0,0,Valores!C18/P23)</f>
        <v>0.06896551724137931</v>
      </c>
      <c r="Q18" s="10">
        <f>IF(Q23=0,0,Valores!D18/Q23)</f>
        <v>0.06993006993006994</v>
      </c>
      <c r="R18" s="10">
        <f>IF(R23=0,0,Valores!E18/R23)</f>
        <v>0.059880239520958084</v>
      </c>
      <c r="S18" s="10">
        <f>IF(S23=0,0,Valores!F18/S23)</f>
        <v>0.07079646017699115</v>
      </c>
      <c r="T18" s="10">
        <f>IF(T23=0,0,Valores!G18/T23)</f>
        <v>0.06666666666666667</v>
      </c>
      <c r="U18" s="10">
        <f>IF(U23=0,0,Valores!H18/U23)</f>
        <v>0.07692307692307693</v>
      </c>
      <c r="V18" s="10">
        <f>IF(V23=0,0,Valores!I18/V23)</f>
        <v>0.059665871121718374</v>
      </c>
      <c r="W18" s="10">
        <f>IF(W23=0,0,Valores!J18/W23)</f>
        <v>0.07407407407407407</v>
      </c>
      <c r="X18" s="10">
        <f>IF(X23=0,0,Valores!K18/X23)</f>
        <v>0</v>
      </c>
      <c r="Y18" s="10">
        <f>IF(Y23=0,0,Valores!L18/Y23)</f>
        <v>0</v>
      </c>
    </row>
    <row r="19" spans="1:25" ht="12.75" outlineLevel="2">
      <c r="A19" s="4" t="s">
        <v>26</v>
      </c>
      <c r="B19" s="40">
        <f>IF(Valores!B24=0,0,Valores!B19/Valores!B24)</f>
        <v>0</v>
      </c>
      <c r="C19" s="40">
        <f>IF(Valores!C24=0,0,Valores!C19/Valores!C24)</f>
        <v>0</v>
      </c>
      <c r="D19" s="40">
        <f>IF(Valores!D24=0,0,Valores!D19/Valores!D24)</f>
        <v>0</v>
      </c>
      <c r="E19" s="40">
        <f>IF(Valores!E24=0,0,Valores!E19/Valores!E24)</f>
        <v>0</v>
      </c>
      <c r="F19" s="40">
        <f>IF(Valores!F24=0,0,Valores!F19/Valores!F24)</f>
        <v>0</v>
      </c>
      <c r="G19" s="40">
        <f>IF(Valores!G24=0,0,Valores!G19/Valores!G24)</f>
        <v>0</v>
      </c>
      <c r="H19" s="40">
        <f>IF(Valores!H24=0,0,Valores!H19/Valores!H24)</f>
        <v>0</v>
      </c>
      <c r="I19" s="40">
        <f>IF(Valores!I24=0,0,Valores!I19/Valores!I24)</f>
        <v>0</v>
      </c>
      <c r="J19" s="40">
        <f>IF(Valores!J24=0,0,Valores!J19/Valores!J24)</f>
        <v>0</v>
      </c>
      <c r="K19" s="40">
        <f>IF(Valores!K24=0,0,Valores!K19/Valores!K24)</f>
        <v>0</v>
      </c>
      <c r="L19" s="40">
        <f>IF(Valores!L24=0,0,Valores!L19/Valores!L24)</f>
        <v>0</v>
      </c>
      <c r="M19" s="85"/>
      <c r="N19" s="4" t="s">
        <v>26</v>
      </c>
      <c r="O19" s="10">
        <f>IF(O23=0,0,Valores!B19/O23)</f>
        <v>0</v>
      </c>
      <c r="P19" s="10">
        <f>IF(P23=0,0,Valores!C19/P23)</f>
        <v>0</v>
      </c>
      <c r="Q19" s="10">
        <f>IF(Q23=0,0,Valores!D19/Q23)</f>
        <v>0</v>
      </c>
      <c r="R19" s="10">
        <f>IF(R23=0,0,Valores!E19/R23)</f>
        <v>0</v>
      </c>
      <c r="S19" s="10">
        <f>IF(S23=0,0,Valores!F19/S23)</f>
        <v>0</v>
      </c>
      <c r="T19" s="10">
        <f>IF(T23=0,0,Valores!G19/T23)</f>
        <v>0</v>
      </c>
      <c r="U19" s="10">
        <f>IF(U23=0,0,Valores!H19/U23)</f>
        <v>0</v>
      </c>
      <c r="V19" s="10">
        <f>IF(V23=0,0,Valores!I19/V23)</f>
        <v>0</v>
      </c>
      <c r="W19" s="10">
        <f>IF(W23=0,0,Valores!J19/W23)</f>
        <v>0</v>
      </c>
      <c r="X19" s="10">
        <f>IF(X23=0,0,Valores!K19/X23)</f>
        <v>0</v>
      </c>
      <c r="Y19" s="10">
        <f>IF(Y23=0,0,Valores!L19/Y23)</f>
        <v>0</v>
      </c>
    </row>
    <row r="20" spans="1:14" ht="12.75" outlineLevel="2">
      <c r="A20" s="4" t="s">
        <v>41</v>
      </c>
      <c r="B20" s="40">
        <f>IF(Valores!B24=0,0,Valores!B20/Valores!B24)</f>
        <v>0.19047619047619047</v>
      </c>
      <c r="C20" s="40">
        <f>IF(Valores!C24=0,0,Valores!C20/Valores!C24)</f>
        <v>0.29545454545454547</v>
      </c>
      <c r="D20" s="40">
        <f>IF(Valores!D24=0,0,Valores!D20/Valores!D24)</f>
        <v>0.36133333333333334</v>
      </c>
      <c r="E20" s="40">
        <f>IF(Valores!E24=0,0,Valores!E20/Valores!E24)</f>
        <v>0.3684782608695652</v>
      </c>
      <c r="F20" s="40">
        <f>IF(Valores!F24=0,0,Valores!F20/Valores!F24)</f>
        <v>0.3010204081632653</v>
      </c>
      <c r="G20" s="40">
        <f>IF(Valores!G24=0,0,Valores!G20/Valores!G24)</f>
        <v>0.2830188679245283</v>
      </c>
      <c r="H20" s="40">
        <f>IF(Valores!H24=0,0,Valores!H20/Valores!H24)</f>
        <v>0.2892561983471074</v>
      </c>
      <c r="I20" s="40">
        <f>IF(Valores!I24=0,0,Valores!I20/Valores!I24)</f>
        <v>0.24794520547945206</v>
      </c>
      <c r="J20" s="40">
        <f>IF(Valores!J24=0,0,Valores!J20/Valores!J24)</f>
        <v>0.2565789473684211</v>
      </c>
      <c r="K20" s="40">
        <f>IF(Valores!K24=0,0,Valores!K20/Valores!K24)</f>
        <v>0</v>
      </c>
      <c r="L20" s="40">
        <f>IF(Valores!L24=0,0,Valores!L20/Valores!L24)</f>
        <v>0</v>
      </c>
      <c r="M20" s="85"/>
      <c r="N20" s="4"/>
    </row>
    <row r="21" spans="1:25" ht="12.75" outlineLevel="2">
      <c r="A21" s="4" t="s">
        <v>43</v>
      </c>
      <c r="B21" s="40">
        <f>IF(Valores!B24=0,0,Valores!B21/Valores!B24)</f>
        <v>0</v>
      </c>
      <c r="C21" s="40">
        <f>IF(Valores!C24=0,0,Valores!C21/Valores!C24)</f>
        <v>0</v>
      </c>
      <c r="D21" s="40">
        <f>IF(Valores!D24=0,0,Valores!D21/Valores!D24)</f>
        <v>0</v>
      </c>
      <c r="E21" s="40">
        <f>IF(Valores!E24=0,0,Valores!E21/Valores!E24)</f>
        <v>0</v>
      </c>
      <c r="F21" s="40">
        <f>IF(Valores!F24=0,0,Valores!F21/Valores!F24)</f>
        <v>0</v>
      </c>
      <c r="G21" s="40">
        <f>IF(Valores!G24=0,0,Valores!G21/Valores!G24)</f>
        <v>0</v>
      </c>
      <c r="H21" s="40">
        <f>IF(Valores!H24=0,0,Valores!H21/Valores!H24)</f>
        <v>0</v>
      </c>
      <c r="I21" s="40">
        <f>IF(Valores!I24=0,0,Valores!I21/Valores!I24)</f>
        <v>0</v>
      </c>
      <c r="J21" s="40">
        <f>IF(Valores!J24=0,0,Valores!J21/Valores!J24)</f>
        <v>0</v>
      </c>
      <c r="K21" s="40">
        <f>IF(Valores!K24=0,0,Valores!K21/Valores!K24)</f>
        <v>0</v>
      </c>
      <c r="L21" s="40">
        <f>IF(Valores!L24=0,0,Valores!L21/Valores!L24)</f>
        <v>0</v>
      </c>
      <c r="M21" s="85"/>
      <c r="N21" s="4" t="s">
        <v>43</v>
      </c>
      <c r="O21" s="10">
        <f>IF(O23=0,0,Valores!B21/O23)</f>
        <v>0</v>
      </c>
      <c r="P21" s="10">
        <f>IF(P23=0,0,Valores!C21/P23)</f>
        <v>0</v>
      </c>
      <c r="Q21" s="10">
        <f>IF(Q23=0,0,Valores!D21/Q23)</f>
        <v>0</v>
      </c>
      <c r="R21" s="10">
        <f>IF(R23=0,0,Valores!E21/R23)</f>
        <v>0</v>
      </c>
      <c r="S21" s="10">
        <f>IF(S23=0,0,Valores!F21/S23)</f>
        <v>0</v>
      </c>
      <c r="T21" s="10">
        <f>IF(T23=0,0,Valores!G21/T23)</f>
        <v>0</v>
      </c>
      <c r="U21" s="10">
        <f>IF(U23=0,0,Valores!H21/U23)</f>
        <v>0</v>
      </c>
      <c r="V21" s="10">
        <f>IF(V23=0,0,Valores!I21/V23)</f>
        <v>0</v>
      </c>
      <c r="W21" s="10">
        <f>IF(W23=0,0,Valores!J21/W23)</f>
        <v>0</v>
      </c>
      <c r="X21" s="10">
        <f>IF(X23=0,0,Valores!K21/X23)</f>
        <v>0</v>
      </c>
      <c r="Y21" s="10">
        <f>IF(Y23=0,0,Valores!L21/Y23)</f>
        <v>0</v>
      </c>
    </row>
    <row r="22" spans="1:25" ht="12.75" outlineLevel="2">
      <c r="A22" s="56" t="s">
        <v>87</v>
      </c>
      <c r="B22" s="43">
        <f>IF(Valores!B24=0,0,Valores!B22/Valores!B24)</f>
        <v>0.5238095238095238</v>
      </c>
      <c r="C22" s="43">
        <f>IF(Valores!C24=0,0,Valores!C22/Valores!C24)</f>
        <v>0.7727272727272727</v>
      </c>
      <c r="D22" s="43">
        <f>IF(Valores!D24=0,0,Valores!D22/Valores!D24)</f>
        <v>0.6</v>
      </c>
      <c r="E22" s="43">
        <f>IF(Valores!E24=0,0,Valores!E22/Valores!E24)</f>
        <v>0.6739130434782609</v>
      </c>
      <c r="F22" s="43">
        <f>IF(Valores!F24=0,0,Valores!F22/Valores!F24)</f>
        <v>0.5918367346938775</v>
      </c>
      <c r="G22" s="43">
        <f>IF(Valores!G24=0,0,Valores!G22/Valores!G24)</f>
        <v>0.6226415094339622</v>
      </c>
      <c r="H22" s="43">
        <f>IF(Valores!H24=0,0,Valores!H22/Valores!H24)</f>
        <v>0.5867768595041323</v>
      </c>
      <c r="I22" s="43">
        <f>IF(Valores!I24=0,0,Valores!I22/Valores!I24)</f>
        <v>0.6575342465753424</v>
      </c>
      <c r="J22" s="43">
        <f>IF(Valores!J24=0,0,Valores!J22/Valores!J24)</f>
        <v>0.6052631578947368</v>
      </c>
      <c r="K22" s="43">
        <f>IF(Valores!K24=0,0,Valores!K22/Valores!K24)</f>
        <v>0</v>
      </c>
      <c r="L22" s="43">
        <f>IF(Valores!L24=0,0,Valores!L22/Valores!L24)</f>
        <v>0</v>
      </c>
      <c r="M22" s="85"/>
      <c r="N22" s="56" t="s">
        <v>87</v>
      </c>
      <c r="O22" s="43">
        <f>IF(O23=0,0,(Valores!B22-Valores!B20)/O23)</f>
        <v>0.4375</v>
      </c>
      <c r="P22" s="43">
        <f>IF(P23=0,0,(Valores!C22-Valores!C20)/P23)</f>
        <v>0.7241379310344828</v>
      </c>
      <c r="Q22" s="43">
        <f>IF(Q23=0,0,(Valores!D22-Valores!D20)/Q23)</f>
        <v>0.4172494172494173</v>
      </c>
      <c r="R22" s="43">
        <f>IF(R23=0,0,(Valores!E22-Valores!E20)/R23)</f>
        <v>0.5608782435129741</v>
      </c>
      <c r="S22" s="43">
        <f>IF(S23=0,0,(Valores!F22-Valores!F20)/S23)</f>
        <v>0.504424778761062</v>
      </c>
      <c r="T22" s="43">
        <f>IF(T23=0,0,(Valores!G22-Valores!G20)/T23)</f>
        <v>0.6</v>
      </c>
      <c r="U22" s="43">
        <f>IF(U23=0,0,(Valores!H22-Valores!H20)/U23)</f>
        <v>0.5538461538461539</v>
      </c>
      <c r="V22" s="43">
        <f>IF(V23=0,0,(Valores!I22-Valores!I20)/V23)</f>
        <v>0.7136038186157518</v>
      </c>
      <c r="W22" s="43">
        <f>IF(W23=0,0,(Valores!J22-Valores!J20)/W23)</f>
        <v>0.654320987654321</v>
      </c>
      <c r="X22" s="43">
        <f>IF(X23=0,0,(Valores!K22-Valores!K20)/X23)</f>
        <v>0</v>
      </c>
      <c r="Y22" s="43">
        <f>IF(Y23=0,0,(Valores!L22-Valores!L20)/Y23)</f>
        <v>0</v>
      </c>
    </row>
    <row r="23" spans="1:25" ht="12.75" outlineLevel="1">
      <c r="A23" s="3" t="s">
        <v>85</v>
      </c>
      <c r="B23" s="35">
        <f>Valores!B23</f>
        <v>200</v>
      </c>
      <c r="C23" s="35">
        <f>Valores!C23</f>
        <v>420</v>
      </c>
      <c r="D23" s="35">
        <f>Valores!D23</f>
        <v>700</v>
      </c>
      <c r="E23" s="35">
        <f>Valores!E23</f>
        <v>840</v>
      </c>
      <c r="F23" s="35">
        <f>Valores!F23</f>
        <v>860</v>
      </c>
      <c r="G23" s="35">
        <f>Valores!G23</f>
        <v>900</v>
      </c>
      <c r="H23" s="35">
        <f>Valores!H23</f>
        <v>1000</v>
      </c>
      <c r="I23" s="35">
        <f>Valores!I23</f>
        <v>1200</v>
      </c>
      <c r="J23" s="35">
        <f>Valores!J23</f>
        <v>1200</v>
      </c>
      <c r="K23" s="35">
        <f>Valores!K23</f>
        <v>0</v>
      </c>
      <c r="L23" s="35">
        <f>Valores!L23</f>
        <v>0</v>
      </c>
      <c r="M23" s="88"/>
      <c r="N23" s="3" t="s">
        <v>85</v>
      </c>
      <c r="O23">
        <f>B23-Valores!B42</f>
        <v>160</v>
      </c>
      <c r="P23">
        <f>C23-Valores!C42</f>
        <v>290</v>
      </c>
      <c r="Q23">
        <f>D23-Valores!D42</f>
        <v>429</v>
      </c>
      <c r="R23">
        <f>E23-Valores!E42</f>
        <v>501</v>
      </c>
      <c r="S23">
        <f>F23-Valores!F42</f>
        <v>565</v>
      </c>
      <c r="T23">
        <f>G23-Valores!G42</f>
        <v>600</v>
      </c>
      <c r="U23">
        <f>H23-Valores!H42</f>
        <v>650</v>
      </c>
      <c r="V23">
        <f>I23-Valores!I42</f>
        <v>838</v>
      </c>
      <c r="W23">
        <f>J23-Valores!J42</f>
        <v>810</v>
      </c>
      <c r="X23">
        <f>K23-Valores!K42</f>
        <v>0</v>
      </c>
      <c r="Y23">
        <f>L23-Valores!L42</f>
        <v>0</v>
      </c>
    </row>
    <row r="24" spans="1:13" ht="12.75" outlineLevel="1">
      <c r="A24" s="3" t="s">
        <v>84</v>
      </c>
      <c r="B24" s="35">
        <f>Valores!B24</f>
        <v>210</v>
      </c>
      <c r="C24" s="35">
        <f>Valores!C24</f>
        <v>440</v>
      </c>
      <c r="D24" s="35">
        <f>Valores!D24</f>
        <v>750</v>
      </c>
      <c r="E24" s="35">
        <f>Valores!E24</f>
        <v>920</v>
      </c>
      <c r="F24" s="35">
        <f>Valores!F24</f>
        <v>980</v>
      </c>
      <c r="G24" s="35">
        <f>Valores!G24</f>
        <v>1060</v>
      </c>
      <c r="H24" s="35">
        <f>Valores!H24</f>
        <v>1210</v>
      </c>
      <c r="I24" s="35">
        <f>Valores!I24</f>
        <v>1460</v>
      </c>
      <c r="J24" s="35">
        <f>Valores!J24</f>
        <v>1520</v>
      </c>
      <c r="K24" s="35">
        <f>Valores!K24</f>
        <v>0</v>
      </c>
      <c r="L24" s="35">
        <f>Valores!L24</f>
        <v>0</v>
      </c>
      <c r="M24" s="88"/>
    </row>
    <row r="26" spans="1:25" s="12" customFormat="1" ht="12.75">
      <c r="A26" s="1" t="s">
        <v>1</v>
      </c>
      <c r="B26" s="1">
        <f>B3</f>
        <v>1984</v>
      </c>
      <c r="C26" s="1">
        <f aca="true" t="shared" si="2" ref="C26:K26">C3</f>
        <v>1985</v>
      </c>
      <c r="D26" s="1">
        <f t="shared" si="2"/>
        <v>1986</v>
      </c>
      <c r="E26" s="1">
        <f t="shared" si="2"/>
        <v>1987</v>
      </c>
      <c r="F26" s="1">
        <f t="shared" si="2"/>
        <v>1988</v>
      </c>
      <c r="G26" s="1">
        <f t="shared" si="2"/>
        <v>1989</v>
      </c>
      <c r="H26" s="1">
        <f t="shared" si="2"/>
        <v>1990</v>
      </c>
      <c r="I26" s="1">
        <f t="shared" si="2"/>
        <v>1991</v>
      </c>
      <c r="J26" s="1">
        <f t="shared" si="2"/>
        <v>1992</v>
      </c>
      <c r="K26" s="1">
        <f t="shared" si="2"/>
        <v>1993</v>
      </c>
      <c r="L26" s="1" t="str">
        <f>L3</f>
        <v>PREV</v>
      </c>
      <c r="O26" s="1">
        <f aca="true" t="shared" si="3" ref="O26:Y26">B26</f>
        <v>1984</v>
      </c>
      <c r="P26" s="1">
        <f t="shared" si="3"/>
        <v>1985</v>
      </c>
      <c r="Q26" s="1">
        <f t="shared" si="3"/>
        <v>1986</v>
      </c>
      <c r="R26" s="1">
        <f t="shared" si="3"/>
        <v>1987</v>
      </c>
      <c r="S26" s="1">
        <f t="shared" si="3"/>
        <v>1988</v>
      </c>
      <c r="T26" s="1">
        <f t="shared" si="3"/>
        <v>1989</v>
      </c>
      <c r="U26" s="1">
        <f t="shared" si="3"/>
        <v>1990</v>
      </c>
      <c r="V26" s="1">
        <f t="shared" si="3"/>
        <v>1991</v>
      </c>
      <c r="W26" s="1">
        <f t="shared" si="3"/>
        <v>1992</v>
      </c>
      <c r="X26" s="1">
        <f t="shared" si="3"/>
        <v>1993</v>
      </c>
      <c r="Y26" s="1" t="str">
        <f t="shared" si="3"/>
        <v>PREV</v>
      </c>
    </row>
    <row r="27" spans="1:14" ht="12.75" outlineLevel="2">
      <c r="A27" s="2" t="s">
        <v>5</v>
      </c>
      <c r="B27" s="44">
        <f>IF(Valores!B47=0,0,Valores!B27/Valores!B47)</f>
        <v>0.47619047619047616</v>
      </c>
      <c r="C27" s="44">
        <f>IF(Valores!C47=0,0,Valores!C27/Valores!C47)</f>
        <v>0.45454545454545453</v>
      </c>
      <c r="D27" s="44">
        <f>IF(Valores!D47=0,0,Valores!D27/Valores!D47)</f>
        <v>0.26666666666666666</v>
      </c>
      <c r="E27" s="44">
        <f>IF(Valores!E47=0,0,Valores!E27/Valores!E47)</f>
        <v>0.21739130434782608</v>
      </c>
      <c r="F27" s="44">
        <f>IF(Valores!F47=0,0,Valores!F27/Valores!F47)</f>
        <v>0.20408163265306123</v>
      </c>
      <c r="G27" s="44">
        <f>IF(Valores!G47=0,0,Valores!G27/Valores!G47)</f>
        <v>0.18867924528301888</v>
      </c>
      <c r="H27" s="44">
        <f>IF(Valores!H47=0,0,Valores!H27/Valores!H47)</f>
        <v>0.1652892561983471</v>
      </c>
      <c r="I27" s="44">
        <f>IF(Valores!I47=0,0,Valores!I27/Valores!I47)</f>
        <v>0.136986301369863</v>
      </c>
      <c r="J27" s="44">
        <f>IF(Valores!J47=0,0,Valores!J27/Valores!J47)</f>
        <v>0.13157894736842105</v>
      </c>
      <c r="K27" s="44">
        <f>IF(Valores!K47=0,0,Valores!K27/Valores!K47)</f>
        <v>0</v>
      </c>
      <c r="L27" s="44">
        <f>IF(Valores!L47=0,0,Valores!L27/Valores!L47)</f>
        <v>0</v>
      </c>
      <c r="N27" s="2"/>
    </row>
    <row r="28" spans="1:14" ht="12.75" outlineLevel="2">
      <c r="A28" s="2" t="s">
        <v>24</v>
      </c>
      <c r="B28" s="44">
        <f>IF(Valores!B47=0,0,Valores!B28/Valores!B47)</f>
        <v>0</v>
      </c>
      <c r="C28" s="44">
        <f>IF(Valores!C47=0,0,Valores!C28/Valores!C47)</f>
        <v>0</v>
      </c>
      <c r="D28" s="44">
        <f>IF(Valores!D47=0,0,Valores!D28/Valores!D47)</f>
        <v>0</v>
      </c>
      <c r="E28" s="44">
        <f>IF(Valores!E47=0,0,Valores!E28/Valores!E47)</f>
        <v>0</v>
      </c>
      <c r="F28" s="44">
        <f>IF(Valores!F47=0,0,Valores!F28/Valores!F47)</f>
        <v>0</v>
      </c>
      <c r="G28" s="44">
        <f>IF(Valores!G47=0,0,Valores!G28/Valores!G47)</f>
        <v>0</v>
      </c>
      <c r="H28" s="44">
        <f>IF(Valores!H47=0,0,Valores!H28/Valores!H47)</f>
        <v>0</v>
      </c>
      <c r="I28" s="44">
        <f>IF(Valores!I47=0,0,Valores!I28/Valores!I47)</f>
        <v>0</v>
      </c>
      <c r="J28" s="44">
        <f>IF(Valores!J47=0,0,Valores!J28/Valores!J47)</f>
        <v>0</v>
      </c>
      <c r="K28" s="44">
        <f>IF(Valores!K47=0,0,Valores!K28/Valores!K47)</f>
        <v>0</v>
      </c>
      <c r="L28" s="44">
        <f>IF(Valores!L47=0,0,Valores!L28/Valores!L47)</f>
        <v>0</v>
      </c>
      <c r="N28" s="2"/>
    </row>
    <row r="29" spans="1:14" ht="12.75" outlineLevel="2">
      <c r="A29" s="2" t="s">
        <v>43</v>
      </c>
      <c r="B29" s="44">
        <f>IF(Valores!B47=0,0,Valores!B29/Valores!B47)</f>
        <v>0</v>
      </c>
      <c r="C29" s="44">
        <f>IF(Valores!C47=0,0,Valores!C29/Valores!C47)</f>
        <v>0</v>
      </c>
      <c r="D29" s="44">
        <f>IF(Valores!D47=0,0,Valores!D29/Valores!D47)</f>
        <v>0</v>
      </c>
      <c r="E29" s="44">
        <f>IF(Valores!E47=0,0,Valores!E29/Valores!E47)</f>
        <v>0</v>
      </c>
      <c r="F29" s="44">
        <f>IF(Valores!F47=0,0,Valores!F29/Valores!F47)</f>
        <v>0</v>
      </c>
      <c r="G29" s="44">
        <f>IF(Valores!G47=0,0,Valores!G29/Valores!G47)</f>
        <v>0</v>
      </c>
      <c r="H29" s="44">
        <f>IF(Valores!H47=0,0,Valores!H29/Valores!H47)</f>
        <v>0</v>
      </c>
      <c r="I29" s="44">
        <f>IF(Valores!I47=0,0,Valores!I29/Valores!I47)</f>
        <v>0</v>
      </c>
      <c r="J29" s="44">
        <f>IF(Valores!J47=0,0,Valores!J29/Valores!J47)</f>
        <v>0</v>
      </c>
      <c r="K29" s="44">
        <f>IF(Valores!K47=0,0,Valores!K29/Valores!K47)</f>
        <v>0</v>
      </c>
      <c r="L29" s="44">
        <f>IF(Valores!L47=0,0,Valores!L29/Valores!L47)</f>
        <v>0</v>
      </c>
      <c r="N29" s="2"/>
    </row>
    <row r="30" spans="1:25" ht="12.75" outlineLevel="2">
      <c r="A30" s="37" t="s">
        <v>6</v>
      </c>
      <c r="B30" s="43">
        <f>IF(Valores!B47=0,0,Valores!B30/Valores!B47)</f>
        <v>0.47619047619047616</v>
      </c>
      <c r="C30" s="43">
        <f>IF(Valores!C47=0,0,Valores!C30/Valores!C47)</f>
        <v>0.45454545454545453</v>
      </c>
      <c r="D30" s="43">
        <f>IF(Valores!D47=0,0,Valores!D30/Valores!D47)</f>
        <v>0.26666666666666666</v>
      </c>
      <c r="E30" s="43">
        <f>IF(Valores!E47=0,0,Valores!E30/Valores!E47)</f>
        <v>0.21739130434782608</v>
      </c>
      <c r="F30" s="43">
        <f>IF(Valores!F47=0,0,Valores!F30/Valores!F47)</f>
        <v>0.20408163265306123</v>
      </c>
      <c r="G30" s="43">
        <f>IF(Valores!G47=0,0,Valores!G30/Valores!G47)</f>
        <v>0.18867924528301888</v>
      </c>
      <c r="H30" s="43">
        <f>IF(Valores!H47=0,0,Valores!H30/Valores!H47)</f>
        <v>0.1652892561983471</v>
      </c>
      <c r="I30" s="43">
        <f>IF(Valores!I47=0,0,Valores!I30/Valores!I47)</f>
        <v>0.136986301369863</v>
      </c>
      <c r="J30" s="43">
        <f>IF(Valores!J47=0,0,Valores!J30/Valores!J47)</f>
        <v>0.13157894736842105</v>
      </c>
      <c r="K30" s="43">
        <f>IF(Valores!K47=0,0,Valores!K30/Valores!K47)</f>
        <v>0</v>
      </c>
      <c r="L30" s="43">
        <f>IF(Valores!L47=0,0,Valores!L30/Valores!L47)</f>
        <v>0</v>
      </c>
      <c r="N30" s="37" t="s">
        <v>6</v>
      </c>
      <c r="O30" s="43">
        <f>IF(O46=0,0,Valores!B30/O46)</f>
        <v>0.625</v>
      </c>
      <c r="P30" s="43">
        <f>IF(P46=0,0,Valores!C30/P46)</f>
        <v>0.6896551724137931</v>
      </c>
      <c r="Q30" s="43">
        <f>IF(Q46=0,0,Valores!D30/Q46)</f>
        <v>0.4662004662004662</v>
      </c>
      <c r="R30" s="43">
        <f>IF(R46=0,0,Valores!E30/R46)</f>
        <v>0.3992015968063872</v>
      </c>
      <c r="S30" s="43">
        <f>IF(S46=0,0,Valores!F30/S46)</f>
        <v>0.35398230088495575</v>
      </c>
      <c r="T30" s="43">
        <f>IF(T46=0,0,Valores!G30/T46)</f>
        <v>0.3333333333333333</v>
      </c>
      <c r="U30" s="43">
        <f>IF(U46=0,0,Valores!H30/U46)</f>
        <v>0.3076923076923077</v>
      </c>
      <c r="V30" s="43">
        <f>IF(V46=0,0,Valores!I30/V46)</f>
        <v>0.2386634844868735</v>
      </c>
      <c r="W30" s="43">
        <f>IF(W46=0,0,Valores!J30/W46)</f>
        <v>0.24691358024691357</v>
      </c>
      <c r="X30" s="43">
        <f>IF(X46=0,0,Valores!K30/X46)</f>
        <v>0</v>
      </c>
      <c r="Y30" s="43">
        <f>IF(Y46=0,0,Valores!L30/Y46)</f>
        <v>0</v>
      </c>
    </row>
    <row r="31" spans="2:12" ht="12.75" outlineLevel="1">
      <c r="B31" s="44"/>
      <c r="C31" s="29"/>
      <c r="D31" s="29"/>
      <c r="E31" s="29"/>
      <c r="F31" s="29"/>
      <c r="G31" s="29"/>
      <c r="H31" s="29"/>
      <c r="I31" s="29"/>
      <c r="J31" s="29"/>
      <c r="K31" s="29"/>
      <c r="L31" s="29"/>
    </row>
    <row r="32" spans="1:12" ht="12.75" outlineLevel="2">
      <c r="A32" s="37" t="s">
        <v>82</v>
      </c>
      <c r="B32" s="43">
        <f>IF(Valores!B47=0,0,Valores!B32/Valores!B47)</f>
        <v>0.047619047619047616</v>
      </c>
      <c r="C32" s="43">
        <f>IF(Valores!C47=0,0,Valores!C32/Valores!C47)</f>
        <v>0.045454545454545456</v>
      </c>
      <c r="D32" s="43">
        <f>IF(Valores!D47=0,0,Valores!D32/Valores!D47)</f>
        <v>0.06666666666666667</v>
      </c>
      <c r="E32" s="43">
        <f>IF(Valores!E47=0,0,Valores!E32/Valores!E47)</f>
        <v>0.08695652173913043</v>
      </c>
      <c r="F32" s="43">
        <f>IF(Valores!F47=0,0,Valores!F32/Valores!F47)</f>
        <v>0.12244897959183673</v>
      </c>
      <c r="G32" s="43">
        <f>IF(Valores!G47=0,0,Valores!G32/Valores!G47)</f>
        <v>0.1509433962264151</v>
      </c>
      <c r="H32" s="43">
        <f>IF(Valores!H47=0,0,Valores!H32/Valores!H47)</f>
        <v>0.17355371900826447</v>
      </c>
      <c r="I32" s="43">
        <f>IF(Valores!I47=0,0,Valores!I32/Valores!I47)</f>
        <v>0.1780821917808219</v>
      </c>
      <c r="J32" s="43">
        <f>IF(Valores!J47=0,0,Valores!J32/Valores!J47)</f>
        <v>0.21052631578947367</v>
      </c>
      <c r="K32" s="43">
        <f>IF(Valores!K47=0,0,Valores!K32/Valores!K47)</f>
        <v>0</v>
      </c>
      <c r="L32" s="43">
        <f>IF(Valores!L47=0,0,Valores!L32/Valores!L47)</f>
        <v>0</v>
      </c>
    </row>
    <row r="33" spans="2:12" ht="12.75" outlineLevel="1">
      <c r="B33" s="44"/>
      <c r="C33" s="29"/>
      <c r="D33" s="29"/>
      <c r="E33" s="29"/>
      <c r="F33" s="29"/>
      <c r="G33" s="29"/>
      <c r="H33" s="29"/>
      <c r="I33" s="29"/>
      <c r="J33" s="29"/>
      <c r="K33" s="29"/>
      <c r="L33" s="29"/>
    </row>
    <row r="34" spans="1:14" ht="12.75" outlineLevel="2">
      <c r="A34" s="2" t="s">
        <v>43</v>
      </c>
      <c r="B34" s="44">
        <f>IF(Valores!B47=0,0,Valores!B34/Valores!B47)</f>
        <v>0</v>
      </c>
      <c r="C34" s="44">
        <f>IF(Valores!C47=0,0,Valores!C34/Valores!C47)</f>
        <v>0</v>
      </c>
      <c r="D34" s="44">
        <f>IF(Valores!D47=0,0,Valores!D34/Valores!D47)</f>
        <v>0</v>
      </c>
      <c r="E34" s="44">
        <f>IF(Valores!E47=0,0,Valores!E34/Valores!E47)</f>
        <v>0</v>
      </c>
      <c r="F34" s="44">
        <f>IF(Valores!F47=0,0,Valores!F34/Valores!F47)</f>
        <v>0</v>
      </c>
      <c r="G34" s="44">
        <f>IF(Valores!G47=0,0,Valores!G34/Valores!G47)</f>
        <v>0</v>
      </c>
      <c r="H34" s="44">
        <f>IF(Valores!H47=0,0,Valores!H34/Valores!H47)</f>
        <v>0.09504132231404959</v>
      </c>
      <c r="I34" s="44">
        <f>IF(Valores!I47=0,0,Valores!I34/Valores!I47)</f>
        <v>0.2136986301369863</v>
      </c>
      <c r="J34" s="44">
        <f>IF(Valores!J47=0,0,Valores!J34/Valores!J47)</f>
        <v>0.18355263157894736</v>
      </c>
      <c r="K34" s="44">
        <f>IF(Valores!K47=0,0,Valores!K34/Valores!K47)</f>
        <v>0</v>
      </c>
      <c r="L34" s="44">
        <f>IF(Valores!L47=0,0,Valores!L34/Valores!L47)</f>
        <v>0</v>
      </c>
      <c r="N34" s="2"/>
    </row>
    <row r="35" spans="1:25" ht="12.75" outlineLevel="2">
      <c r="A35" s="37" t="s">
        <v>44</v>
      </c>
      <c r="B35" s="43">
        <f>IF(Valores!B47=0,0,Valores!B35/Valores!B47)</f>
        <v>0</v>
      </c>
      <c r="C35" s="43">
        <f>IF(Valores!C47=0,0,Valores!C35/Valores!C47)</f>
        <v>0</v>
      </c>
      <c r="D35" s="43">
        <f>IF(Valores!D47=0,0,Valores!D35/Valores!D47)</f>
        <v>0</v>
      </c>
      <c r="E35" s="43">
        <f>IF(Valores!E47=0,0,Valores!E35/Valores!E47)</f>
        <v>0</v>
      </c>
      <c r="F35" s="43">
        <f>IF(Valores!F47=0,0,Valores!F35/Valores!F47)</f>
        <v>0</v>
      </c>
      <c r="G35" s="43">
        <f>IF(Valores!G47=0,0,Valores!G35/Valores!G47)</f>
        <v>0</v>
      </c>
      <c r="H35" s="43">
        <f>IF(Valores!H47=0,0,Valores!H35/Valores!H47)</f>
        <v>0.09504132231404959</v>
      </c>
      <c r="I35" s="43">
        <f>IF(Valores!I47=0,0,Valores!I35/Valores!I47)</f>
        <v>0.2136986301369863</v>
      </c>
      <c r="J35" s="43">
        <f>IF(Valores!J47=0,0,Valores!J35/Valores!J47)</f>
        <v>0.18355263157894736</v>
      </c>
      <c r="K35" s="43">
        <f>IF(Valores!K47=0,0,Valores!K35/Valores!K47)</f>
        <v>0</v>
      </c>
      <c r="L35" s="43">
        <f>IF(Valores!L47=0,0,Valores!L35/Valores!L47)</f>
        <v>0</v>
      </c>
      <c r="N35" s="37" t="s">
        <v>44</v>
      </c>
      <c r="O35" s="43">
        <f>IF(O46=0,0,Valores!B35/O46)</f>
        <v>0</v>
      </c>
      <c r="P35" s="43">
        <f>IF(P46=0,0,Valores!C35/P46)</f>
        <v>0</v>
      </c>
      <c r="Q35" s="43">
        <f>IF(Q46=0,0,Valores!D35/Q46)</f>
        <v>0</v>
      </c>
      <c r="R35" s="43">
        <f>IF(R46=0,0,Valores!E35/R46)</f>
        <v>0</v>
      </c>
      <c r="S35" s="43">
        <f>IF(S46=0,0,Valores!F35/S46)</f>
        <v>0</v>
      </c>
      <c r="T35" s="43">
        <f>IF(T46=0,0,Valores!G35/T46)</f>
        <v>0</v>
      </c>
      <c r="U35" s="43">
        <f>IF(U46=0,0,Valores!H35/U46)</f>
        <v>0.17692307692307693</v>
      </c>
      <c r="V35" s="43">
        <f>IF(V46=0,0,Valores!I35/V46)</f>
        <v>0.3723150357995227</v>
      </c>
      <c r="W35" s="43">
        <f>IF(W46=0,0,Valores!J35/W46)</f>
        <v>0.34444444444444444</v>
      </c>
      <c r="X35" s="43">
        <f>IF(X46=0,0,Valores!K35/X46)</f>
        <v>0</v>
      </c>
      <c r="Y35" s="43">
        <f>IF(Y46=0,0,Valores!L35/Y46)</f>
        <v>0</v>
      </c>
    </row>
    <row r="36" spans="2:12" ht="12.75" outlineLevel="1">
      <c r="B36" s="44"/>
      <c r="C36" s="29"/>
      <c r="D36" s="29"/>
      <c r="E36" s="29"/>
      <c r="F36" s="29"/>
      <c r="G36" s="29"/>
      <c r="H36" s="29"/>
      <c r="I36" s="29"/>
      <c r="J36" s="29"/>
      <c r="K36" s="29"/>
      <c r="L36" s="29"/>
    </row>
    <row r="37" spans="1:14" ht="12.75" outlineLevel="2">
      <c r="A37" s="2" t="s">
        <v>48</v>
      </c>
      <c r="B37" s="44">
        <f>IF(Valores!B47=0,0,Valores!B37/Valores!B47)</f>
        <v>0</v>
      </c>
      <c r="C37" s="44">
        <f>IF(Valores!C47=0,0,Valores!C37/Valores!C47)</f>
        <v>0</v>
      </c>
      <c r="D37" s="44">
        <f>IF(Valores!D47=0,0,Valores!D37/Valores!D47)</f>
        <v>0</v>
      </c>
      <c r="E37" s="44">
        <f>IF(Valores!E47=0,0,Valores!E37/Valores!E47)</f>
        <v>0</v>
      </c>
      <c r="F37" s="44">
        <f>IF(Valores!F47=0,0,Valores!F37/Valores!F47)</f>
        <v>0</v>
      </c>
      <c r="G37" s="44">
        <f>IF(Valores!G47=0,0,Valores!G37/Valores!G47)</f>
        <v>0</v>
      </c>
      <c r="H37" s="44">
        <f>IF(Valores!H47=0,0,Valores!H37/Valores!H47)</f>
        <v>0.008264462809917356</v>
      </c>
      <c r="I37" s="44">
        <f>IF(Valores!I47=0,0,Valores!I37/Valores!I47)</f>
        <v>0.022602739726027398</v>
      </c>
      <c r="J37" s="44">
        <f>IF(Valores!J47=0,0,Valores!J37/Valores!J47)</f>
        <v>0.021710526315789475</v>
      </c>
      <c r="K37" s="44">
        <f>IF(Valores!K47=0,0,Valores!K37/Valores!K47)</f>
        <v>0</v>
      </c>
      <c r="L37" s="44">
        <f>IF(Valores!L47=0,0,Valores!L37/Valores!L47)</f>
        <v>0</v>
      </c>
      <c r="N37" s="2"/>
    </row>
    <row r="38" spans="1:14" ht="12.75" outlineLevel="2">
      <c r="A38" s="2" t="s">
        <v>32</v>
      </c>
      <c r="B38" s="44">
        <f>IF(Valores!B47=0,0,Valores!B38/Valores!B47)</f>
        <v>0.09523809523809523</v>
      </c>
      <c r="C38" s="44">
        <f>IF(Valores!C47=0,0,Valores!C38/Valores!C47)</f>
        <v>0.06818181818181818</v>
      </c>
      <c r="D38" s="44">
        <f>IF(Valores!D47=0,0,Valores!D38/Valores!D47)</f>
        <v>0.04</v>
      </c>
      <c r="E38" s="44">
        <f>IF(Valores!E47=0,0,Valores!E38/Valores!E47)</f>
        <v>0.043478260869565216</v>
      </c>
      <c r="F38" s="44">
        <f>IF(Valores!F47=0,0,Valores!F38/Valores!F47)</f>
        <v>0.04081632653061224</v>
      </c>
      <c r="G38" s="44">
        <f>IF(Valores!G47=0,0,Valores!G38/Valores!G47)</f>
        <v>0.04716981132075472</v>
      </c>
      <c r="H38" s="44">
        <f>IF(Valores!H47=0,0,Valores!H38/Valores!H47)</f>
        <v>0.04132231404958678</v>
      </c>
      <c r="I38" s="44">
        <f>IF(Valores!I47=0,0,Valores!I38/Valores!I47)</f>
        <v>0.0273972602739726</v>
      </c>
      <c r="J38" s="44">
        <f>IF(Valores!J47=0,0,Valores!J38/Valores!J47)</f>
        <v>0.03289473684210526</v>
      </c>
      <c r="K38" s="44">
        <f>IF(Valores!K47=0,0,Valores!K38/Valores!K47)</f>
        <v>0</v>
      </c>
      <c r="L38" s="44">
        <f>IF(Valores!L47=0,0,Valores!L38/Valores!L47)</f>
        <v>0</v>
      </c>
      <c r="N38" s="2"/>
    </row>
    <row r="39" spans="1:14" ht="12.75" outlineLevel="2">
      <c r="A39" s="39" t="s">
        <v>45</v>
      </c>
      <c r="B39" s="44">
        <f>IF(Valores!B47=0,0,Valores!B39/Valores!B47)</f>
        <v>0</v>
      </c>
      <c r="C39" s="44">
        <f>IF(Valores!C47=0,0,Valores!C39/Valores!C47)</f>
        <v>0</v>
      </c>
      <c r="D39" s="44">
        <f>IF(Valores!D47=0,0,Valores!D39/Valores!D47)</f>
        <v>0.12133333333333333</v>
      </c>
      <c r="E39" s="44">
        <f>IF(Valores!E47=0,0,Valores!E39/Valores!E47)</f>
        <v>0.12717391304347825</v>
      </c>
      <c r="F39" s="44">
        <f>IF(Valores!F47=0,0,Valores!F39/Valores!F47)</f>
        <v>0.15306122448979592</v>
      </c>
      <c r="G39" s="44">
        <f>IF(Valores!G47=0,0,Valores!G39/Valores!G47)</f>
        <v>0.15849056603773584</v>
      </c>
      <c r="H39" s="44">
        <f>IF(Valores!H47=0,0,Valores!H39/Valores!H47)</f>
        <v>0.09090909090909091</v>
      </c>
      <c r="I39" s="44">
        <f>IF(Valores!I47=0,0,Valores!I39/Valores!I47)</f>
        <v>0.07534246575342465</v>
      </c>
      <c r="J39" s="44">
        <f>IF(Valores!J47=0,0,Valores!J39/Valores!J47)</f>
        <v>0.06315789473684211</v>
      </c>
      <c r="K39" s="44">
        <f>IF(Valores!K47=0,0,Valores!K39/Valores!K47)</f>
        <v>0</v>
      </c>
      <c r="L39" s="44">
        <f>IF(Valores!L47=0,0,Valores!L39/Valores!L47)</f>
        <v>0</v>
      </c>
      <c r="N39" s="2"/>
    </row>
    <row r="40" spans="1:14" ht="12.75" outlineLevel="2">
      <c r="A40" s="39" t="s">
        <v>51</v>
      </c>
      <c r="B40" s="44">
        <f>IF(Valores!B47=0,0,Valores!B40/Valores!B47)</f>
        <v>0</v>
      </c>
      <c r="C40" s="44">
        <f>IF(Valores!C47=0,0,Valores!C40/Valores!C47)</f>
        <v>0</v>
      </c>
      <c r="D40" s="44">
        <f>IF(Valores!D47=0,0,Valores!D40/Valores!D47)</f>
        <v>0.06</v>
      </c>
      <c r="E40" s="44">
        <f>IF(Valores!E47=0,0,Valores!E40/Valores!E47)</f>
        <v>0.06521739130434782</v>
      </c>
      <c r="F40" s="44">
        <f>IF(Valores!F47=0,0,Valores!F40/Valores!F47)</f>
        <v>0.08163265306122448</v>
      </c>
      <c r="G40" s="44">
        <f>IF(Valores!G47=0,0,Valores!G40/Valores!G47)</f>
        <v>0.08018867924528301</v>
      </c>
      <c r="H40" s="44">
        <f>IF(Valores!H47=0,0,Valores!H40/Valores!H47)</f>
        <v>0.049586776859504134</v>
      </c>
      <c r="I40" s="44">
        <f>IF(Valores!I47=0,0,Valores!I40/Valores!I47)</f>
        <v>0.0410958904109589</v>
      </c>
      <c r="J40" s="44">
        <f>IF(Valores!J47=0,0,Valores!J40/Valores!J47)</f>
        <v>0.03289473684210526</v>
      </c>
      <c r="K40" s="44">
        <f>IF(Valores!K47=0,0,Valores!K40/Valores!K47)</f>
        <v>0</v>
      </c>
      <c r="L40" s="44">
        <f>IF(Valores!L47=0,0,Valores!L40/Valores!L47)</f>
        <v>0</v>
      </c>
      <c r="N40" s="2"/>
    </row>
    <row r="41" spans="1:14" ht="12.75" outlineLevel="2">
      <c r="A41" s="2" t="s">
        <v>47</v>
      </c>
      <c r="B41" s="44">
        <f>IF(Valores!B47=0,0,Valores!B41/Valores!B47)</f>
        <v>0</v>
      </c>
      <c r="C41" s="44">
        <f>IF(Valores!C47=0,0,Valores!C41/Valores!C47)</f>
        <v>0</v>
      </c>
      <c r="D41" s="44">
        <f>IF(Valores!D47=0,0,Valores!D41/Valores!D47)</f>
        <v>0</v>
      </c>
      <c r="E41" s="44">
        <f>IF(Valores!E47=0,0,Valores!E41/Valores!E47)</f>
        <v>0</v>
      </c>
      <c r="F41" s="44">
        <f>IF(Valores!F47=0,0,Valores!F41/Valores!F47)</f>
        <v>0</v>
      </c>
      <c r="G41" s="44">
        <f>IF(Valores!G47=0,0,Valores!G41/Valores!G47)</f>
        <v>0</v>
      </c>
      <c r="H41" s="44">
        <f>IF(Valores!H47=0,0,Valores!H41/Valores!H47)</f>
        <v>0</v>
      </c>
      <c r="I41" s="44">
        <f>IF(Valores!I47=0,0,Valores!I41/Valores!I47)</f>
        <v>0</v>
      </c>
      <c r="J41" s="44">
        <f>IF(Valores!J47=0,0,Valores!J41/Valores!J47)</f>
        <v>0</v>
      </c>
      <c r="K41" s="44">
        <f>IF(Valores!K47=0,0,Valores!K41/Valores!K47)</f>
        <v>0</v>
      </c>
      <c r="L41" s="44">
        <f>IF(Valores!L47=0,0,Valores!L41/Valores!L47)</f>
        <v>0</v>
      </c>
      <c r="N41" s="2"/>
    </row>
    <row r="42" spans="1:14" ht="12.75" outlineLevel="2">
      <c r="A42" s="2" t="s">
        <v>49</v>
      </c>
      <c r="B42" s="44">
        <f>IF(Valores!B47=0,0,Valores!B42/Valores!B47)</f>
        <v>0.19047619047619047</v>
      </c>
      <c r="C42" s="44">
        <f>IF(Valores!C47=0,0,Valores!C42/Valores!C47)</f>
        <v>0.29545454545454547</v>
      </c>
      <c r="D42" s="44">
        <f>IF(Valores!D47=0,0,Valores!D42/Valores!D47)</f>
        <v>0.36133333333333334</v>
      </c>
      <c r="E42" s="44">
        <f>IF(Valores!E47=0,0,Valores!E42/Valores!E47)</f>
        <v>0.3684782608695652</v>
      </c>
      <c r="F42" s="44">
        <f>IF(Valores!F47=0,0,Valores!F42/Valores!F47)</f>
        <v>0.3010204081632653</v>
      </c>
      <c r="G42" s="44">
        <f>IF(Valores!G47=0,0,Valores!G42/Valores!G47)</f>
        <v>0.2830188679245283</v>
      </c>
      <c r="H42" s="44">
        <f>IF(Valores!H47=0,0,Valores!H42/Valores!H47)</f>
        <v>0.2892561983471074</v>
      </c>
      <c r="I42" s="44">
        <f>IF(Valores!I47=0,0,Valores!I42/Valores!I47)</f>
        <v>0.24794520547945206</v>
      </c>
      <c r="J42" s="44">
        <f>IF(Valores!J47=0,0,Valores!J42/Valores!J47)</f>
        <v>0.2565789473684211</v>
      </c>
      <c r="K42" s="44">
        <f>IF(Valores!K47=0,0,Valores!K42/Valores!K47)</f>
        <v>0</v>
      </c>
      <c r="L42" s="44">
        <f>IF(Valores!L47=0,0,Valores!L42/Valores!L47)</f>
        <v>0</v>
      </c>
      <c r="N42" s="2"/>
    </row>
    <row r="43" spans="1:14" ht="12.75" outlineLevel="2">
      <c r="A43" s="2" t="s">
        <v>43</v>
      </c>
      <c r="B43" s="44">
        <f>IF(Valores!B47=0,0,Valores!B43/Valores!B47)</f>
        <v>0.19047619047619047</v>
      </c>
      <c r="C43" s="44">
        <f>IF(Valores!C47=0,0,Valores!C43/Valores!C47)</f>
        <v>0.13636363636363635</v>
      </c>
      <c r="D43" s="44">
        <f>IF(Valores!D47=0,0,Valores!D43/Valores!D47)</f>
        <v>0.084</v>
      </c>
      <c r="E43" s="44">
        <f>IF(Valores!E47=0,0,Valores!E43/Valores!E47)</f>
        <v>0.09130434782608696</v>
      </c>
      <c r="F43" s="44">
        <f>IF(Valores!F47=0,0,Valores!F43/Valores!F47)</f>
        <v>0.09693877551020408</v>
      </c>
      <c r="G43" s="44">
        <f>IF(Valores!G47=0,0,Valores!G43/Valores!G47)</f>
        <v>0.09150943396226414</v>
      </c>
      <c r="H43" s="44">
        <f>IF(Valores!H47=0,0,Valores!H43/Valores!H47)</f>
        <v>0.08677685950413223</v>
      </c>
      <c r="I43" s="44">
        <f>IF(Valores!I47=0,0,Valores!I43/Valores!I47)</f>
        <v>0.05684931506849315</v>
      </c>
      <c r="J43" s="44">
        <f>IF(Valores!J47=0,0,Valores!J43/Valores!J47)</f>
        <v>0.06710526315789474</v>
      </c>
      <c r="K43" s="44">
        <f>IF(Valores!K47=0,0,Valores!K43/Valores!K47)</f>
        <v>0</v>
      </c>
      <c r="L43" s="44">
        <f>IF(Valores!L47=0,0,Valores!L43/Valores!L47)</f>
        <v>0</v>
      </c>
      <c r="N43" s="2"/>
    </row>
    <row r="44" spans="1:14" ht="12.75" outlineLevel="2">
      <c r="A44" s="61" t="s">
        <v>105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N44" s="2"/>
    </row>
    <row r="45" spans="1:25" ht="12.75" outlineLevel="2">
      <c r="A45" s="37" t="s">
        <v>50</v>
      </c>
      <c r="B45" s="43">
        <f>IF(Valores!B47=0,0,Valores!B45/Valores!B47)</f>
        <v>0.47619047619047616</v>
      </c>
      <c r="C45" s="43">
        <f>IF(Valores!C47=0,0,Valores!C45/Valores!C47)</f>
        <v>0.5</v>
      </c>
      <c r="D45" s="43">
        <f>IF(Valores!D47=0,0,Valores!D45/Valores!D47)</f>
        <v>0.6666666666666666</v>
      </c>
      <c r="E45" s="43">
        <f>IF(Valores!E47=0,0,Valores!E45/Valores!E47)</f>
        <v>0.6956521739130435</v>
      </c>
      <c r="F45" s="43">
        <f>IF(Valores!F47=0,0,Valores!F45/Valores!F47)</f>
        <v>0.673469387755102</v>
      </c>
      <c r="G45" s="43">
        <f>IF(Valores!G47=0,0,Valores!G45/Valores!G47)</f>
        <v>0.660377358490566</v>
      </c>
      <c r="H45" s="43">
        <f>IF(Valores!H47=0,0,Valores!H45/Valores!H47)</f>
        <v>0.5661157024793388</v>
      </c>
      <c r="I45" s="43">
        <f>IF(Valores!I47=0,0,Valores!I45/Valores!I47)</f>
        <v>0.4712328767123288</v>
      </c>
      <c r="J45" s="43">
        <f>IF(Valores!J47=0,0,Valores!J45/Valores!J47)</f>
        <v>0.4743421052631579</v>
      </c>
      <c r="K45" s="43">
        <f>IF(Valores!K47=0,0,Valores!K45/Valores!K47)</f>
        <v>0</v>
      </c>
      <c r="L45" s="43">
        <f>IF(Valores!L47=0,0,Valores!L45/Valores!L47)</f>
        <v>0</v>
      </c>
      <c r="N45" s="37" t="s">
        <v>50</v>
      </c>
      <c r="O45" s="43">
        <f>IF(O46=0,0,(Valores!B45-Valores!B42)/O46)</f>
        <v>0.375</v>
      </c>
      <c r="P45" s="43">
        <f>IF(P46=0,0,(Valores!C45-Valores!C42)/P46)</f>
        <v>0.3103448275862069</v>
      </c>
      <c r="Q45" s="43">
        <f>IF(Q46=0,0,(Valores!D45-Valores!D42)/Q46)</f>
        <v>0.5337995337995338</v>
      </c>
      <c r="R45" s="43">
        <f>IF(R46=0,0,(Valores!E45-Valores!E42)/R46)</f>
        <v>0.6007984031936128</v>
      </c>
      <c r="S45" s="43">
        <f>IF(S46=0,0,(Valores!F45-Valores!F42)/S46)</f>
        <v>0.6460176991150443</v>
      </c>
      <c r="T45" s="43">
        <f>IF(T46=0,0,(Valores!G45-Valores!G42)/T46)</f>
        <v>0.6666666666666666</v>
      </c>
      <c r="U45" s="43">
        <f>IF(U46=0,0,(Valores!H45-Valores!H42)/U46)</f>
        <v>0.5153846153846153</v>
      </c>
      <c r="V45" s="43">
        <f>IF(V46=0,0,(Valores!I45-Valores!I42)/V46)</f>
        <v>0.38902147971360385</v>
      </c>
      <c r="W45" s="43">
        <f>IF(W46=0,0,(Valores!J45-Valores!J42)/W46)</f>
        <v>0.408641975308642</v>
      </c>
      <c r="X45" s="43">
        <f>IF(X46=0,0,(Valores!K45-Valores!K42)/X46)</f>
        <v>0</v>
      </c>
      <c r="Y45" s="43">
        <f>IF(Y46=0,0,(Valores!L45-Valores!L42)/Y46)</f>
        <v>0</v>
      </c>
    </row>
    <row r="46" spans="1:25" ht="12.75" outlineLevel="1">
      <c r="A46" s="3" t="s">
        <v>83</v>
      </c>
      <c r="B46" s="35">
        <f>Valores!B46</f>
        <v>200</v>
      </c>
      <c r="C46" s="35">
        <f>Valores!C46</f>
        <v>420</v>
      </c>
      <c r="D46" s="35">
        <f>Valores!D46</f>
        <v>700</v>
      </c>
      <c r="E46" s="35">
        <f>Valores!E46</f>
        <v>840</v>
      </c>
      <c r="F46" s="35">
        <f>Valores!F46</f>
        <v>860</v>
      </c>
      <c r="G46" s="35">
        <f>Valores!G46</f>
        <v>900</v>
      </c>
      <c r="H46" s="35">
        <f>Valores!H46</f>
        <v>1000</v>
      </c>
      <c r="I46" s="35">
        <f>Valores!I46</f>
        <v>1200</v>
      </c>
      <c r="J46" s="35">
        <f>Valores!J46</f>
        <v>1200</v>
      </c>
      <c r="K46" s="35">
        <f>Valores!K46</f>
        <v>0</v>
      </c>
      <c r="L46" s="35">
        <f>Valores!L46</f>
        <v>0</v>
      </c>
      <c r="N46" s="3" t="s">
        <v>83</v>
      </c>
      <c r="O46" s="35">
        <f>B46-Valores!B42</f>
        <v>160</v>
      </c>
      <c r="P46" s="35">
        <f>C46-Valores!C42</f>
        <v>290</v>
      </c>
      <c r="Q46" s="35">
        <f>D46-Valores!D42</f>
        <v>429</v>
      </c>
      <c r="R46" s="35">
        <f>E46-Valores!E42</f>
        <v>501</v>
      </c>
      <c r="S46" s="35">
        <f>F46-Valores!F42</f>
        <v>565</v>
      </c>
      <c r="T46" s="35">
        <f>G46-Valores!G42</f>
        <v>600</v>
      </c>
      <c r="U46" s="35">
        <f>H46-Valores!H42</f>
        <v>650</v>
      </c>
      <c r="V46" s="35">
        <f>I46-Valores!I42</f>
        <v>838</v>
      </c>
      <c r="W46" s="35">
        <f>J46-Valores!J42</f>
        <v>810</v>
      </c>
      <c r="X46" s="35">
        <f>K46-Valores!K42</f>
        <v>0</v>
      </c>
      <c r="Y46" s="35">
        <f>L46-Valores!L42</f>
        <v>0</v>
      </c>
    </row>
    <row r="47" spans="1:12" ht="12.75" outlineLevel="1">
      <c r="A47" s="3" t="s">
        <v>101</v>
      </c>
      <c r="B47" s="35">
        <f>Valores!B47</f>
        <v>210</v>
      </c>
      <c r="C47" s="35">
        <f>Valores!C47</f>
        <v>440</v>
      </c>
      <c r="D47" s="35">
        <f>Valores!D47</f>
        <v>750</v>
      </c>
      <c r="E47" s="35">
        <f>Valores!E47</f>
        <v>920</v>
      </c>
      <c r="F47" s="35">
        <f>Valores!F47</f>
        <v>980</v>
      </c>
      <c r="G47" s="35">
        <f>Valores!G47</f>
        <v>1060</v>
      </c>
      <c r="H47" s="35">
        <f>Valores!H47</f>
        <v>1210</v>
      </c>
      <c r="I47" s="35">
        <f>Valores!I47</f>
        <v>1460</v>
      </c>
      <c r="J47" s="35">
        <f>Valores!J47</f>
        <v>1520</v>
      </c>
      <c r="K47" s="35">
        <f>Valores!K47</f>
        <v>0</v>
      </c>
      <c r="L47" s="35">
        <f>Valores!L47</f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M36"/>
  <sheetViews>
    <sheetView zoomScale="80" zoomScaleNormal="80" workbookViewId="0" topLeftCell="A1">
      <selection activeCell="F34" sqref="F34"/>
    </sheetView>
  </sheetViews>
  <sheetFormatPr defaultColWidth="9.140625" defaultRowHeight="12.75" outlineLevelCol="1"/>
  <cols>
    <col min="1" max="1" width="8.28125" style="0" customWidth="1" outlineLevel="1"/>
    <col min="2" max="3" width="5.57421875" style="6" customWidth="1" outlineLevel="1"/>
    <col min="4" max="4" width="5.7109375" style="0" customWidth="1" outlineLevel="1"/>
    <col min="5" max="5" width="8.7109375" style="0" customWidth="1" outlineLevel="1"/>
    <col min="6" max="6" width="3.7109375" style="0" customWidth="1"/>
    <col min="7" max="7" width="8.28125" style="0" hidden="1" customWidth="1" outlineLevel="1"/>
    <col min="8" max="9" width="5.57421875" style="6" hidden="1" customWidth="1" outlineLevel="1"/>
    <col min="10" max="10" width="5.7109375" style="0" hidden="1" customWidth="1" outlineLevel="1"/>
    <col min="11" max="11" width="8.7109375" style="0" hidden="1" customWidth="1" outlineLevel="1"/>
    <col min="12" max="12" width="3.7109375" style="0" customWidth="1" collapsed="1"/>
    <col min="13" max="13" width="8.28125" style="0" hidden="1" customWidth="1" outlineLevel="1"/>
    <col min="14" max="15" width="5.57421875" style="6" hidden="1" customWidth="1" outlineLevel="1"/>
    <col min="16" max="16" width="5.7109375" style="0" hidden="1" customWidth="1" outlineLevel="1"/>
    <col min="17" max="17" width="8.7109375" style="0" hidden="1" customWidth="1" outlineLevel="1"/>
    <col min="18" max="18" width="3.7109375" style="0" customWidth="1" collapsed="1"/>
    <col min="19" max="19" width="8.28125" style="0" hidden="1" customWidth="1" outlineLevel="1"/>
    <col min="20" max="21" width="5.57421875" style="6" hidden="1" customWidth="1" outlineLevel="1"/>
    <col min="22" max="22" width="5.7109375" style="0" hidden="1" customWidth="1" outlineLevel="1"/>
    <col min="23" max="23" width="8.7109375" style="0" hidden="1" customWidth="1" outlineLevel="1"/>
    <col min="24" max="24" width="3.7109375" style="0" customWidth="1" collapsed="1"/>
    <col min="25" max="25" width="8.28125" style="0" hidden="1" customWidth="1" outlineLevel="1"/>
    <col min="26" max="27" width="5.57421875" style="6" hidden="1" customWidth="1" outlineLevel="1"/>
    <col min="28" max="28" width="5.7109375" style="0" hidden="1" customWidth="1" outlineLevel="1"/>
    <col min="29" max="29" width="8.7109375" style="0" hidden="1" customWidth="1" outlineLevel="1"/>
    <col min="30" max="30" width="3.7109375" style="0" customWidth="1" collapsed="1"/>
    <col min="31" max="31" width="8.28125" style="0" hidden="1" customWidth="1" outlineLevel="1"/>
    <col min="32" max="33" width="5.57421875" style="6" hidden="1" customWidth="1" outlineLevel="1"/>
    <col min="34" max="34" width="5.7109375" style="0" hidden="1" customWidth="1" outlineLevel="1"/>
    <col min="35" max="35" width="8.7109375" style="0" hidden="1" customWidth="1" outlineLevel="1"/>
    <col min="36" max="36" width="3.7109375" style="0" customWidth="1" collapsed="1"/>
    <col min="37" max="37" width="8.28125" style="0" customWidth="1" outlineLevel="1"/>
    <col min="38" max="39" width="5.57421875" style="6" customWidth="1" outlineLevel="1"/>
    <col min="40" max="40" width="5.7109375" style="0" customWidth="1" outlineLevel="1"/>
    <col min="41" max="41" width="8.7109375" style="0" customWidth="1" outlineLevel="1"/>
    <col min="42" max="42" width="3.7109375" style="0" customWidth="1"/>
    <col min="43" max="43" width="8.28125" style="0" customWidth="1" outlineLevel="1"/>
    <col min="44" max="45" width="5.57421875" style="6" customWidth="1" outlineLevel="1"/>
    <col min="46" max="46" width="5.7109375" style="0" customWidth="1" outlineLevel="1"/>
    <col min="47" max="47" width="8.7109375" style="0" customWidth="1" outlineLevel="1"/>
    <col min="48" max="48" width="3.7109375" style="0" customWidth="1"/>
    <col min="49" max="49" width="8.28125" style="0" customWidth="1" outlineLevel="1"/>
    <col min="50" max="51" width="5.57421875" style="6" customWidth="1" outlineLevel="1"/>
    <col min="52" max="52" width="5.7109375" style="0" customWidth="1" outlineLevel="1"/>
    <col min="53" max="53" width="8.7109375" style="0" customWidth="1" outlineLevel="1"/>
    <col min="54" max="54" width="3.7109375" style="0" customWidth="1"/>
    <col min="55" max="55" width="8.28125" style="0" hidden="1" customWidth="1" outlineLevel="1"/>
    <col min="56" max="57" width="5.57421875" style="6" hidden="1" customWidth="1" outlineLevel="1"/>
    <col min="58" max="58" width="5.7109375" style="0" hidden="1" customWidth="1" outlineLevel="1"/>
    <col min="59" max="59" width="8.7109375" style="0" hidden="1" customWidth="1" outlineLevel="1"/>
    <col min="60" max="60" width="3.7109375" style="0" customWidth="1" collapsed="1"/>
    <col min="61" max="61" width="8.28125" style="0" hidden="1" customWidth="1" outlineLevel="1"/>
    <col min="62" max="63" width="5.57421875" style="6" hidden="1" customWidth="1" outlineLevel="1"/>
    <col min="64" max="64" width="5.7109375" style="0" hidden="1" customWidth="1" outlineLevel="1"/>
    <col min="65" max="65" width="8.7109375" style="0" hidden="1" customWidth="1" outlineLevel="1"/>
    <col min="66" max="66" width="9.140625" style="0" customWidth="1" collapsed="1"/>
  </cols>
  <sheetData>
    <row r="1" spans="1:65" ht="12.75">
      <c r="A1" s="3" t="s">
        <v>0</v>
      </c>
      <c r="B1" s="7"/>
      <c r="C1" s="7"/>
      <c r="D1" s="3"/>
      <c r="E1" s="3" t="s">
        <v>1</v>
      </c>
      <c r="G1" s="3" t="s">
        <v>0</v>
      </c>
      <c r="H1" s="7"/>
      <c r="I1" s="7"/>
      <c r="J1" s="3"/>
      <c r="K1" s="3" t="s">
        <v>1</v>
      </c>
      <c r="M1" s="3" t="s">
        <v>0</v>
      </c>
      <c r="N1" s="7"/>
      <c r="O1" s="7"/>
      <c r="P1" s="3"/>
      <c r="Q1" s="3" t="s">
        <v>1</v>
      </c>
      <c r="S1" s="3" t="s">
        <v>0</v>
      </c>
      <c r="T1" s="7"/>
      <c r="U1" s="7"/>
      <c r="V1" s="3"/>
      <c r="W1" s="3" t="s">
        <v>1</v>
      </c>
      <c r="Y1" s="3" t="s">
        <v>0</v>
      </c>
      <c r="Z1" s="7"/>
      <c r="AA1" s="7"/>
      <c r="AB1" s="3"/>
      <c r="AC1" s="3" t="s">
        <v>1</v>
      </c>
      <c r="AE1" s="3" t="s">
        <v>0</v>
      </c>
      <c r="AF1" s="7"/>
      <c r="AG1" s="7"/>
      <c r="AH1" s="3"/>
      <c r="AI1" s="3" t="s">
        <v>1</v>
      </c>
      <c r="AK1" s="3" t="s">
        <v>0</v>
      </c>
      <c r="AL1" s="7"/>
      <c r="AM1" s="7"/>
      <c r="AN1" s="3"/>
      <c r="AO1" s="3" t="s">
        <v>1</v>
      </c>
      <c r="AQ1" s="3" t="s">
        <v>0</v>
      </c>
      <c r="AR1" s="7"/>
      <c r="AS1" s="7"/>
      <c r="AT1" s="3"/>
      <c r="AU1" s="3" t="s">
        <v>1</v>
      </c>
      <c r="AW1" s="3" t="s">
        <v>0</v>
      </c>
      <c r="AX1" s="7"/>
      <c r="AY1" s="7"/>
      <c r="AZ1" s="3"/>
      <c r="BA1" s="3" t="s">
        <v>1</v>
      </c>
      <c r="BC1" s="3" t="s">
        <v>0</v>
      </c>
      <c r="BD1" s="7"/>
      <c r="BE1" s="7"/>
      <c r="BF1" s="3"/>
      <c r="BG1" s="3" t="s">
        <v>1</v>
      </c>
      <c r="BI1" s="3" t="s">
        <v>0</v>
      </c>
      <c r="BJ1" s="7"/>
      <c r="BK1" s="7"/>
      <c r="BL1" s="3"/>
      <c r="BM1" s="3" t="s">
        <v>1</v>
      </c>
    </row>
    <row r="2" spans="1:65" ht="12.75">
      <c r="A2" s="8" t="s">
        <v>7</v>
      </c>
      <c r="B2" s="14">
        <f>Porcentajes!O10</f>
        <v>0.5625</v>
      </c>
      <c r="C2" s="14">
        <f>B2</f>
        <v>0.5625</v>
      </c>
      <c r="D2" s="20">
        <f>Porcentajes!O30</f>
        <v>0.625</v>
      </c>
      <c r="E2" s="8" t="s">
        <v>9</v>
      </c>
      <c r="G2" s="8" t="s">
        <v>7</v>
      </c>
      <c r="H2" s="14">
        <f>Porcentajes!P10</f>
        <v>0.27586206896551724</v>
      </c>
      <c r="I2" s="14">
        <f>H2</f>
        <v>0.27586206896551724</v>
      </c>
      <c r="J2" s="20">
        <f>Porcentajes!P30</f>
        <v>0.6896551724137931</v>
      </c>
      <c r="K2" s="8" t="s">
        <v>9</v>
      </c>
      <c r="M2" s="8" t="s">
        <v>7</v>
      </c>
      <c r="N2" s="14">
        <f>Porcentajes!Q10</f>
        <v>0.5827505827505828</v>
      </c>
      <c r="O2" s="14">
        <f>N2</f>
        <v>0.5827505827505828</v>
      </c>
      <c r="P2" s="20">
        <f>Porcentajes!Q30</f>
        <v>0.4662004662004662</v>
      </c>
      <c r="Q2" s="8" t="s">
        <v>9</v>
      </c>
      <c r="S2" s="8" t="s">
        <v>7</v>
      </c>
      <c r="T2" s="14">
        <f>Porcentajes!R10</f>
        <v>0.43912175648702595</v>
      </c>
      <c r="U2" s="14">
        <f>T2</f>
        <v>0.43912175648702595</v>
      </c>
      <c r="V2" s="20">
        <f>Porcentajes!R30</f>
        <v>0.3992015968063872</v>
      </c>
      <c r="W2" s="8" t="s">
        <v>9</v>
      </c>
      <c r="Y2" s="8" t="s">
        <v>7</v>
      </c>
      <c r="Z2" s="14">
        <f>Porcentajes!S10</f>
        <v>0.49557522123893805</v>
      </c>
      <c r="AA2" s="14">
        <f>Z2</f>
        <v>0.49557522123893805</v>
      </c>
      <c r="AB2" s="20">
        <f>Porcentajes!S30</f>
        <v>0.35398230088495575</v>
      </c>
      <c r="AC2" s="8" t="s">
        <v>9</v>
      </c>
      <c r="AE2" s="8" t="s">
        <v>7</v>
      </c>
      <c r="AF2" s="14">
        <f>Porcentajes!T10</f>
        <v>0.4</v>
      </c>
      <c r="AG2" s="14">
        <f>AF2</f>
        <v>0.4</v>
      </c>
      <c r="AH2" s="20">
        <f>Porcentajes!T30</f>
        <v>0.3333333333333333</v>
      </c>
      <c r="AI2" s="8" t="s">
        <v>9</v>
      </c>
      <c r="AK2" s="8" t="s">
        <v>7</v>
      </c>
      <c r="AL2" s="14">
        <f>Porcentajes!U10</f>
        <v>0.4461538461538462</v>
      </c>
      <c r="AM2" s="14">
        <f>AL2</f>
        <v>0.4461538461538462</v>
      </c>
      <c r="AN2" s="20">
        <f>Porcentajes!U30</f>
        <v>0.3076923076923077</v>
      </c>
      <c r="AO2" s="8" t="s">
        <v>9</v>
      </c>
      <c r="AQ2" s="8" t="s">
        <v>7</v>
      </c>
      <c r="AR2" s="14">
        <f>Porcentajes!V10</f>
        <v>0.2863961813842482</v>
      </c>
      <c r="AS2" s="14">
        <f>AR2</f>
        <v>0.2863961813842482</v>
      </c>
      <c r="AT2" s="20">
        <f>Porcentajes!V30</f>
        <v>0.2386634844868735</v>
      </c>
      <c r="AU2" s="8" t="s">
        <v>9</v>
      </c>
      <c r="AW2" s="8" t="s">
        <v>7</v>
      </c>
      <c r="AX2" s="14">
        <f>Porcentajes!W10</f>
        <v>0.345679012345679</v>
      </c>
      <c r="AY2" s="14">
        <f>AX2</f>
        <v>0.345679012345679</v>
      </c>
      <c r="AZ2" s="20">
        <f>Porcentajes!W30</f>
        <v>0.24691358024691357</v>
      </c>
      <c r="BA2" s="8" t="s">
        <v>9</v>
      </c>
      <c r="BC2" s="8" t="s">
        <v>7</v>
      </c>
      <c r="BD2" s="14">
        <f>Porcentajes!X10</f>
        <v>0</v>
      </c>
      <c r="BE2" s="14">
        <f>BD2</f>
        <v>0</v>
      </c>
      <c r="BF2" s="20">
        <f>Porcentajes!X30</f>
        <v>0</v>
      </c>
      <c r="BG2" s="8" t="s">
        <v>9</v>
      </c>
      <c r="BI2" s="8" t="s">
        <v>7</v>
      </c>
      <c r="BJ2" s="14">
        <f>Porcentajes!Y10</f>
        <v>0</v>
      </c>
      <c r="BK2" s="14">
        <f>BJ2</f>
        <v>0</v>
      </c>
      <c r="BL2" s="20">
        <f>Porcentajes!Y30</f>
        <v>0</v>
      </c>
      <c r="BM2" s="8" t="s">
        <v>9</v>
      </c>
    </row>
    <row r="3" spans="1:65" ht="12.75">
      <c r="A3" s="8" t="s">
        <v>8</v>
      </c>
      <c r="B3" s="15">
        <f>Porcentajes!O22</f>
        <v>0.4375</v>
      </c>
      <c r="C3" s="16">
        <f>Porcentajes!O15</f>
        <v>0.3125</v>
      </c>
      <c r="D3" s="19">
        <f>Porcentajes!O35</f>
        <v>0</v>
      </c>
      <c r="E3" s="8" t="s">
        <v>10</v>
      </c>
      <c r="G3" s="8" t="s">
        <v>8</v>
      </c>
      <c r="H3" s="15">
        <f>Porcentajes!P22</f>
        <v>0.7241379310344828</v>
      </c>
      <c r="I3" s="16">
        <f>Porcentajes!P15</f>
        <v>0.6206896551724138</v>
      </c>
      <c r="J3" s="19">
        <f>Porcentajes!P35</f>
        <v>0</v>
      </c>
      <c r="K3" s="8" t="s">
        <v>10</v>
      </c>
      <c r="M3" s="8" t="s">
        <v>8</v>
      </c>
      <c r="N3" s="15">
        <f>Porcentajes!Q22</f>
        <v>0.4172494172494173</v>
      </c>
      <c r="O3" s="16">
        <f>Porcentajes!Q15</f>
        <v>0.13986013986013987</v>
      </c>
      <c r="P3" s="19">
        <f>Porcentajes!Q35</f>
        <v>0</v>
      </c>
      <c r="Q3" s="8" t="s">
        <v>10</v>
      </c>
      <c r="S3" s="8" t="s">
        <v>8</v>
      </c>
      <c r="T3" s="15">
        <f>Porcentajes!R22</f>
        <v>0.5608782435129741</v>
      </c>
      <c r="U3" s="16">
        <f>Porcentajes!R15</f>
        <v>0.3393213572854291</v>
      </c>
      <c r="V3" s="19">
        <f>Porcentajes!R35</f>
        <v>0</v>
      </c>
      <c r="W3" s="8" t="s">
        <v>10</v>
      </c>
      <c r="Y3" s="8" t="s">
        <v>8</v>
      </c>
      <c r="Z3" s="15">
        <f>Porcentajes!S22</f>
        <v>0.504424778761062</v>
      </c>
      <c r="AA3" s="16">
        <f>Porcentajes!S15</f>
        <v>0.1415929203539823</v>
      </c>
      <c r="AB3" s="19">
        <f>Porcentajes!S35</f>
        <v>0</v>
      </c>
      <c r="AC3" s="8" t="s">
        <v>10</v>
      </c>
      <c r="AE3" s="8" t="s">
        <v>8</v>
      </c>
      <c r="AF3" s="15">
        <f>Porcentajes!T22</f>
        <v>0.6</v>
      </c>
      <c r="AG3" s="16">
        <f>Porcentajes!T15</f>
        <v>0.11666666666666667</v>
      </c>
      <c r="AH3" s="19">
        <f>Porcentajes!T35</f>
        <v>0</v>
      </c>
      <c r="AI3" s="8" t="s">
        <v>10</v>
      </c>
      <c r="AK3" s="8" t="s">
        <v>8</v>
      </c>
      <c r="AL3" s="15">
        <f>Porcentajes!U22</f>
        <v>0.5538461538461539</v>
      </c>
      <c r="AM3" s="16">
        <f>Porcentajes!U15</f>
        <v>0.22153846153846155</v>
      </c>
      <c r="AN3" s="19">
        <f>Porcentajes!U35</f>
        <v>0.17692307692307693</v>
      </c>
      <c r="AO3" s="8" t="s">
        <v>10</v>
      </c>
      <c r="AQ3" s="8" t="s">
        <v>8</v>
      </c>
      <c r="AR3" s="15">
        <f>Porcentajes!V22</f>
        <v>0.7136038186157518</v>
      </c>
      <c r="AS3" s="16">
        <f>Porcentajes!V15</f>
        <v>0.38424821002386633</v>
      </c>
      <c r="AT3" s="19">
        <f>Porcentajes!V35</f>
        <v>0.3723150357995227</v>
      </c>
      <c r="AU3" s="8" t="s">
        <v>10</v>
      </c>
      <c r="AW3" s="8" t="s">
        <v>8</v>
      </c>
      <c r="AX3" s="15">
        <f>Porcentajes!W22</f>
        <v>0.654320987654321</v>
      </c>
      <c r="AY3" s="16">
        <f>Porcentajes!W15</f>
        <v>0.35185185185185186</v>
      </c>
      <c r="AZ3" s="19">
        <f>Porcentajes!W35</f>
        <v>0.34444444444444444</v>
      </c>
      <c r="BA3" s="8" t="s">
        <v>10</v>
      </c>
      <c r="BC3" s="8" t="s">
        <v>8</v>
      </c>
      <c r="BD3" s="15">
        <f>Porcentajes!X22</f>
        <v>0</v>
      </c>
      <c r="BE3" s="16">
        <f>Porcentajes!X15</f>
        <v>0</v>
      </c>
      <c r="BF3" s="19">
        <f>Porcentajes!X35</f>
        <v>0</v>
      </c>
      <c r="BG3" s="8" t="s">
        <v>10</v>
      </c>
      <c r="BI3" s="8" t="s">
        <v>8</v>
      </c>
      <c r="BJ3" s="15">
        <f>Porcentajes!Y22</f>
        <v>0</v>
      </c>
      <c r="BK3" s="16">
        <f>Porcentajes!Y15</f>
        <v>0</v>
      </c>
      <c r="BL3" s="19">
        <f>Porcentajes!Y35</f>
        <v>0</v>
      </c>
      <c r="BM3" s="8" t="s">
        <v>10</v>
      </c>
    </row>
    <row r="4" spans="3:65" ht="12.75">
      <c r="C4" s="17">
        <f>Porcentajes!O16</f>
        <v>0.0625</v>
      </c>
      <c r="D4" s="21">
        <f>Porcentajes!O45</f>
        <v>0.375</v>
      </c>
      <c r="E4" s="8" t="s">
        <v>11</v>
      </c>
      <c r="I4" s="17">
        <f>Porcentajes!P16</f>
        <v>0.034482758620689655</v>
      </c>
      <c r="J4" s="21">
        <f>Porcentajes!P45</f>
        <v>0.3103448275862069</v>
      </c>
      <c r="K4" s="8" t="s">
        <v>11</v>
      </c>
      <c r="O4" s="17">
        <f>Porcentajes!Q16</f>
        <v>0.20745920745920746</v>
      </c>
      <c r="P4" s="21">
        <f>Porcentajes!Q45</f>
        <v>0.5337995337995338</v>
      </c>
      <c r="Q4" s="8" t="s">
        <v>11</v>
      </c>
      <c r="U4" s="17">
        <f>Porcentajes!R16</f>
        <v>0.16167664670658682</v>
      </c>
      <c r="V4" s="21">
        <f>Porcentajes!R45</f>
        <v>0.6007984031936128</v>
      </c>
      <c r="W4" s="8" t="s">
        <v>11</v>
      </c>
      <c r="AA4" s="17">
        <f>Porcentajes!S16</f>
        <v>0.2920353982300885</v>
      </c>
      <c r="AB4" s="21">
        <f>Porcentajes!S45</f>
        <v>0.6460176991150443</v>
      </c>
      <c r="AC4" s="8" t="s">
        <v>11</v>
      </c>
      <c r="AG4" s="17">
        <f>Porcentajes!T16</f>
        <v>0.4166666666666667</v>
      </c>
      <c r="AH4" s="21">
        <f>Porcentajes!T45</f>
        <v>0.6666666666666666</v>
      </c>
      <c r="AI4" s="8" t="s">
        <v>11</v>
      </c>
      <c r="AM4" s="17">
        <f>Porcentajes!U16</f>
        <v>0.2553846153846154</v>
      </c>
      <c r="AN4" s="21">
        <f>Porcentajes!U45</f>
        <v>0.5153846153846153</v>
      </c>
      <c r="AO4" s="8" t="s">
        <v>11</v>
      </c>
      <c r="AS4" s="17">
        <f>Porcentajes!V16</f>
        <v>0.26968973747016706</v>
      </c>
      <c r="AT4" s="21">
        <f>Porcentajes!V45</f>
        <v>0.38902147971360385</v>
      </c>
      <c r="AU4" s="8" t="s">
        <v>11</v>
      </c>
      <c r="AY4" s="17">
        <f>Porcentajes!W16</f>
        <v>0.22839506172839505</v>
      </c>
      <c r="AZ4" s="21">
        <f>Porcentajes!W45</f>
        <v>0.408641975308642</v>
      </c>
      <c r="BA4" s="8" t="s">
        <v>11</v>
      </c>
      <c r="BE4" s="17">
        <f>Porcentajes!X16</f>
        <v>0</v>
      </c>
      <c r="BF4" s="21">
        <f>Porcentajes!X45</f>
        <v>0</v>
      </c>
      <c r="BG4" s="8" t="s">
        <v>11</v>
      </c>
      <c r="BK4" s="17">
        <f>Porcentajes!Y16</f>
        <v>0</v>
      </c>
      <c r="BL4" s="21">
        <f>Porcentajes!Y45</f>
        <v>0</v>
      </c>
      <c r="BM4" s="8" t="s">
        <v>11</v>
      </c>
    </row>
    <row r="5" spans="3:65" ht="12.75">
      <c r="C5" s="18">
        <f>SUM(Porcentajes!O17:O21)</f>
        <v>0.0625</v>
      </c>
      <c r="D5" s="9"/>
      <c r="E5" s="8"/>
      <c r="I5" s="18">
        <f>SUM(Porcentajes!P17:U21)</f>
        <v>0.41316203045914207</v>
      </c>
      <c r="J5" s="9"/>
      <c r="K5" s="8"/>
      <c r="O5" s="18">
        <f>SUM(Porcentajes!Q17:AA21)</f>
        <v>0.4779364584135552</v>
      </c>
      <c r="P5" s="9"/>
      <c r="Q5" s="8"/>
      <c r="U5" s="18">
        <f>SUM(Porcentajes!R17:AG21)</f>
        <v>0.4080063884834853</v>
      </c>
      <c r="V5" s="9"/>
      <c r="W5" s="8"/>
      <c r="AA5" s="18">
        <f>SUM(Porcentajes!S17:AM21)</f>
        <v>0.3481261489625272</v>
      </c>
      <c r="AB5" s="9"/>
      <c r="AC5" s="8"/>
      <c r="AG5" s="18">
        <f>SUM(Porcentajes!T17:AS21)</f>
        <v>0.277329688785536</v>
      </c>
      <c r="AH5" s="9"/>
      <c r="AI5" s="8"/>
      <c r="AM5" s="18">
        <f>SUM(Porcentajes!U17:AY21)</f>
        <v>0.21066302211886936</v>
      </c>
      <c r="AN5" s="9"/>
      <c r="AO5" s="8"/>
      <c r="AS5" s="18">
        <f>SUM(Porcentajes!V17:BE21)</f>
        <v>0.13373994519579244</v>
      </c>
      <c r="AT5" s="9"/>
      <c r="AU5" s="8"/>
      <c r="AY5" s="18">
        <f>SUM(Porcentajes!W17:BK21)</f>
        <v>0.07407407407407407</v>
      </c>
      <c r="AZ5" s="9"/>
      <c r="BA5" s="8"/>
      <c r="BE5" s="18">
        <f>SUM(Porcentajes!X17:BQ21)</f>
        <v>0</v>
      </c>
      <c r="BF5" s="9"/>
      <c r="BG5" s="8"/>
      <c r="BK5" s="18">
        <f>SUM(Porcentajes!Y17:BW21)</f>
        <v>0</v>
      </c>
      <c r="BL5" s="9"/>
      <c r="BM5" s="8"/>
    </row>
    <row r="6" ht="12.75"/>
    <row r="7" ht="12.75"/>
    <row r="34" spans="2:63" ht="12.75">
      <c r="B34"/>
      <c r="C34"/>
      <c r="H34"/>
      <c r="I34"/>
      <c r="N34"/>
      <c r="O34"/>
      <c r="T34"/>
      <c r="U34"/>
      <c r="Z34"/>
      <c r="AA34"/>
      <c r="AF34"/>
      <c r="AG34"/>
      <c r="AL34"/>
      <c r="AM34"/>
      <c r="AR34"/>
      <c r="AS34"/>
      <c r="AX34"/>
      <c r="AY34"/>
      <c r="BD34"/>
      <c r="BE34"/>
      <c r="BJ34"/>
      <c r="BK34"/>
    </row>
    <row r="35" spans="2:63" ht="12.75">
      <c r="B35"/>
      <c r="C35"/>
      <c r="H35"/>
      <c r="I35"/>
      <c r="N35"/>
      <c r="O35"/>
      <c r="T35"/>
      <c r="U35"/>
      <c r="Z35"/>
      <c r="AA35"/>
      <c r="AF35"/>
      <c r="AG35"/>
      <c r="AL35"/>
      <c r="AM35"/>
      <c r="AR35"/>
      <c r="AS35"/>
      <c r="AX35"/>
      <c r="AY35"/>
      <c r="BD35"/>
      <c r="BE35"/>
      <c r="BJ35"/>
      <c r="BK35"/>
    </row>
    <row r="36" spans="2:63" ht="12.75">
      <c r="B36"/>
      <c r="C36"/>
      <c r="H36"/>
      <c r="I36"/>
      <c r="N36"/>
      <c r="O36"/>
      <c r="T36"/>
      <c r="U36"/>
      <c r="Z36"/>
      <c r="AA36"/>
      <c r="AF36"/>
      <c r="AG36"/>
      <c r="AL36"/>
      <c r="AM36"/>
      <c r="AR36"/>
      <c r="AS36"/>
      <c r="AX36"/>
      <c r="AY36"/>
      <c r="BD36"/>
      <c r="BE36"/>
      <c r="BJ36"/>
      <c r="BK36"/>
    </row>
  </sheetData>
  <printOptions/>
  <pageMargins left="0.75" right="0.75" top="1" bottom="1" header="0.5" footer="0.5"/>
  <pageSetup fitToHeight="1" fitToWidth="1" horizontalDpi="600" verticalDpi="600" orientation="landscape" paperSize="9" scale="68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L15"/>
  <sheetViews>
    <sheetView workbookViewId="0" topLeftCell="A1">
      <selection activeCell="F34" sqref="F34"/>
    </sheetView>
  </sheetViews>
  <sheetFormatPr defaultColWidth="9.140625" defaultRowHeight="12.75" outlineLevelCol="1"/>
  <cols>
    <col min="1" max="1" width="27.28125" style="0" customWidth="1"/>
    <col min="3" max="10" width="9.140625" style="0" customWidth="1" outlineLevel="1"/>
  </cols>
  <sheetData>
    <row r="1" spans="1:12" ht="12.75">
      <c r="A1" s="27" t="s">
        <v>198</v>
      </c>
      <c r="B1" s="3">
        <f>Valores!B3</f>
        <v>1984</v>
      </c>
      <c r="C1" s="3">
        <f>Valores!C3</f>
        <v>1985</v>
      </c>
      <c r="D1" s="3">
        <f>Valores!D3</f>
        <v>1986</v>
      </c>
      <c r="E1" s="3">
        <f>Valores!E3</f>
        <v>1987</v>
      </c>
      <c r="F1" s="3">
        <f>Valores!F3</f>
        <v>1988</v>
      </c>
      <c r="G1" s="3">
        <f>Valores!G3</f>
        <v>1989</v>
      </c>
      <c r="H1" s="3">
        <f>Valores!H3</f>
        <v>1990</v>
      </c>
      <c r="I1" s="3">
        <f>Valores!I3</f>
        <v>1991</v>
      </c>
      <c r="J1" s="3">
        <f>Valores!J3</f>
        <v>1992</v>
      </c>
      <c r="K1" s="3">
        <f>Valores!K3</f>
        <v>1993</v>
      </c>
      <c r="L1" s="3" t="str">
        <f>Valores!L3</f>
        <v>PREV</v>
      </c>
    </row>
    <row r="2" spans="1:12" ht="12.75">
      <c r="A2" s="92" t="s">
        <v>199</v>
      </c>
      <c r="B2" s="8">
        <f>Valores!B53</f>
        <v>200</v>
      </c>
      <c r="C2" s="8">
        <f>Valores!C53</f>
        <v>500</v>
      </c>
      <c r="D2" s="8">
        <f>Valores!D53</f>
        <v>1300</v>
      </c>
      <c r="E2" s="8">
        <f>Valores!E53</f>
        <v>1500</v>
      </c>
      <c r="F2" s="8">
        <f>Valores!F53</f>
        <v>2000</v>
      </c>
      <c r="G2" s="8">
        <f>Valores!G53</f>
        <v>2500</v>
      </c>
      <c r="H2" s="8">
        <f>Valores!H53</f>
        <v>2200</v>
      </c>
      <c r="I2" s="8">
        <f>Valores!I53</f>
        <v>2100</v>
      </c>
      <c r="J2" s="8">
        <f>Valores!J53</f>
        <v>2000</v>
      </c>
      <c r="K2" s="8">
        <f>Valores!K53</f>
        <v>0</v>
      </c>
      <c r="L2" s="8">
        <f>Valores!L53</f>
        <v>0</v>
      </c>
    </row>
    <row r="3" spans="1:12" ht="12.75">
      <c r="A3" s="93" t="s">
        <v>200</v>
      </c>
      <c r="B3" s="8">
        <f>Valores!B56</f>
        <v>60</v>
      </c>
      <c r="C3" s="8">
        <f>Valores!C56</f>
        <v>150</v>
      </c>
      <c r="D3" s="8">
        <f>Valores!D56</f>
        <v>390</v>
      </c>
      <c r="E3" s="8">
        <f>Valores!E56</f>
        <v>500</v>
      </c>
      <c r="F3" s="8">
        <f>Valores!F56</f>
        <v>560</v>
      </c>
      <c r="G3" s="8">
        <f>Valores!G56</f>
        <v>675</v>
      </c>
      <c r="H3" s="8">
        <f>Valores!H56</f>
        <v>572</v>
      </c>
      <c r="I3" s="8">
        <f>Valores!I56</f>
        <v>546</v>
      </c>
      <c r="J3" s="8">
        <f>Valores!J56</f>
        <v>540</v>
      </c>
      <c r="K3" s="8">
        <f>Valores!K56</f>
        <v>0</v>
      </c>
      <c r="L3" s="8">
        <f>Valores!L56</f>
        <v>0</v>
      </c>
    </row>
    <row r="4" spans="1:12" ht="12.75">
      <c r="A4" s="94" t="s">
        <v>201</v>
      </c>
      <c r="B4" s="8">
        <f>Valores!B57</f>
        <v>140</v>
      </c>
      <c r="C4" s="8">
        <f>Valores!C57</f>
        <v>350</v>
      </c>
      <c r="D4" s="8">
        <f>Valores!D57</f>
        <v>910</v>
      </c>
      <c r="E4" s="8">
        <f>Valores!E57</f>
        <v>1000</v>
      </c>
      <c r="F4" s="8">
        <f>Valores!F57</f>
        <v>1440</v>
      </c>
      <c r="G4" s="8">
        <f>Valores!G57</f>
        <v>1825</v>
      </c>
      <c r="H4" s="8">
        <f>Valores!H57</f>
        <v>1628</v>
      </c>
      <c r="I4" s="8">
        <f>Valores!I57</f>
        <v>1554</v>
      </c>
      <c r="J4" s="8">
        <f>Valores!J57</f>
        <v>1460</v>
      </c>
      <c r="K4" s="8">
        <f>Valores!K57</f>
        <v>0</v>
      </c>
      <c r="L4" s="8">
        <f>Valores!L57</f>
        <v>0</v>
      </c>
    </row>
    <row r="5" spans="1:12" ht="12.75">
      <c r="A5" s="94" t="s">
        <v>202</v>
      </c>
      <c r="B5" s="8">
        <f>Valores!B62</f>
        <v>132</v>
      </c>
      <c r="C5" s="8">
        <f>Valores!C62</f>
        <v>328</v>
      </c>
      <c r="D5" s="8">
        <f>Valores!D62</f>
        <v>714</v>
      </c>
      <c r="E5" s="8">
        <f>Valores!E62</f>
        <v>748</v>
      </c>
      <c r="F5" s="8">
        <f>Valores!F62</f>
        <v>1140</v>
      </c>
      <c r="G5" s="8">
        <f>Valores!G62</f>
        <v>1495</v>
      </c>
      <c r="H5" s="8">
        <f>Valores!H62</f>
        <v>1378</v>
      </c>
      <c r="I5" s="8">
        <f>Valores!I62</f>
        <v>1290</v>
      </c>
      <c r="J5" s="8">
        <f>Valores!J62</f>
        <v>1184</v>
      </c>
      <c r="K5" s="8">
        <f>Valores!K62</f>
        <v>0</v>
      </c>
      <c r="L5" s="8">
        <f>Valores!L62</f>
        <v>0</v>
      </c>
    </row>
    <row r="6" ht="12.75">
      <c r="A6" s="91"/>
    </row>
    <row r="7" spans="1:12" ht="12.75">
      <c r="A7" s="91"/>
      <c r="B7" s="3">
        <f>B1</f>
        <v>1984</v>
      </c>
      <c r="C7" s="3">
        <f aca="true" t="shared" si="0" ref="C7:L7">C1</f>
        <v>1985</v>
      </c>
      <c r="D7" s="3">
        <f t="shared" si="0"/>
        <v>1986</v>
      </c>
      <c r="E7" s="3">
        <f t="shared" si="0"/>
        <v>1987</v>
      </c>
      <c r="F7" s="3">
        <f t="shared" si="0"/>
        <v>1988</v>
      </c>
      <c r="G7" s="3">
        <f t="shared" si="0"/>
        <v>1989</v>
      </c>
      <c r="H7" s="3">
        <f t="shared" si="0"/>
        <v>1990</v>
      </c>
      <c r="I7" s="3">
        <f t="shared" si="0"/>
        <v>1991</v>
      </c>
      <c r="J7" s="3">
        <f t="shared" si="0"/>
        <v>1992</v>
      </c>
      <c r="K7" s="3">
        <f t="shared" si="0"/>
        <v>1993</v>
      </c>
      <c r="L7" s="3" t="str">
        <f t="shared" si="0"/>
        <v>PREV</v>
      </c>
    </row>
    <row r="8" spans="1:12" ht="13.5">
      <c r="A8" s="95" t="str">
        <f>Valores!A63</f>
        <v>Result. Explotación (BAIT)</v>
      </c>
      <c r="B8" s="22">
        <f>Valores!B63</f>
        <v>8</v>
      </c>
      <c r="C8" s="22">
        <f>Valores!C63</f>
        <v>22</v>
      </c>
      <c r="D8" s="22">
        <f>Valores!D63</f>
        <v>196</v>
      </c>
      <c r="E8" s="22">
        <f>Valores!E63</f>
        <v>252</v>
      </c>
      <c r="F8" s="22">
        <f>Valores!F63</f>
        <v>300</v>
      </c>
      <c r="G8" s="22">
        <f>Valores!G63</f>
        <v>330</v>
      </c>
      <c r="H8" s="22">
        <f>Valores!H63</f>
        <v>250</v>
      </c>
      <c r="I8" s="22">
        <f>Valores!I63</f>
        <v>264</v>
      </c>
      <c r="J8" s="22">
        <f>Valores!J63</f>
        <v>276</v>
      </c>
      <c r="K8" s="22">
        <f>Valores!K63</f>
        <v>0</v>
      </c>
      <c r="L8" s="22">
        <f>Valores!L63</f>
        <v>0</v>
      </c>
    </row>
    <row r="9" spans="1:12" ht="13.5">
      <c r="A9" s="95" t="str">
        <f>Valores!A65</f>
        <v>EBIDTA</v>
      </c>
      <c r="B9" s="22">
        <f>Valores!B65</f>
        <v>18</v>
      </c>
      <c r="C9" s="22">
        <f>Valores!C65</f>
        <v>32</v>
      </c>
      <c r="D9" s="22">
        <f>Valores!D65</f>
        <v>226</v>
      </c>
      <c r="E9" s="22">
        <f>Valores!E65</f>
        <v>282</v>
      </c>
      <c r="F9" s="22">
        <f>Valores!F65</f>
        <v>340</v>
      </c>
      <c r="G9" s="22">
        <f>Valores!G65</f>
        <v>370</v>
      </c>
      <c r="H9" s="22">
        <f>Valores!H65</f>
        <v>300</v>
      </c>
      <c r="I9" s="22">
        <f>Valores!I65</f>
        <v>314</v>
      </c>
      <c r="J9" s="22">
        <f>Valores!J65</f>
        <v>336</v>
      </c>
      <c r="K9" s="22">
        <f>Valores!K65</f>
        <v>0</v>
      </c>
      <c r="L9" s="22">
        <f>Valores!L65</f>
        <v>0</v>
      </c>
    </row>
    <row r="10" spans="1:12" ht="12.75">
      <c r="A10" s="96" t="str">
        <f>Valores!A70</f>
        <v>Result antes taxes (BAT)</v>
      </c>
      <c r="B10" s="22">
        <f>Valores!B70</f>
        <v>-4</v>
      </c>
      <c r="C10" s="22">
        <f>Valores!C70</f>
        <v>0</v>
      </c>
      <c r="D10" s="22">
        <f>Valores!D70</f>
        <v>136</v>
      </c>
      <c r="E10" s="22">
        <f>Valores!E70</f>
        <v>177</v>
      </c>
      <c r="F10" s="22">
        <f>Valores!F70</f>
        <v>230</v>
      </c>
      <c r="G10" s="22">
        <f>Valores!G70</f>
        <v>253</v>
      </c>
      <c r="H10" s="22">
        <f>Valores!H70</f>
        <v>170</v>
      </c>
      <c r="I10" s="22">
        <f>Valores!I70</f>
        <v>170</v>
      </c>
      <c r="J10" s="22">
        <f>Valores!J70</f>
        <v>146</v>
      </c>
      <c r="K10" s="22">
        <f>Valores!K70</f>
        <v>0</v>
      </c>
      <c r="L10" s="22">
        <f>Valores!L70</f>
        <v>0</v>
      </c>
    </row>
    <row r="11" spans="1:12" ht="12.75">
      <c r="A11" s="97" t="str">
        <f>Valores!A75</f>
        <v>Result depués taxes (BPT)</v>
      </c>
      <c r="B11" s="22">
        <f>Valores!B75</f>
        <v>-4</v>
      </c>
      <c r="C11" s="22">
        <f>Valores!C75</f>
        <v>0</v>
      </c>
      <c r="D11" s="22">
        <f>Valores!D75</f>
        <v>91</v>
      </c>
      <c r="E11" s="22">
        <f>Valores!E75</f>
        <v>117</v>
      </c>
      <c r="F11" s="22">
        <f>Valores!F75</f>
        <v>150</v>
      </c>
      <c r="G11" s="22">
        <f>Valores!G75</f>
        <v>168</v>
      </c>
      <c r="H11" s="22">
        <f>Valores!H75</f>
        <v>110</v>
      </c>
      <c r="I11" s="22">
        <f>Valores!I75</f>
        <v>110</v>
      </c>
      <c r="J11" s="22">
        <f>Valores!J75</f>
        <v>96</v>
      </c>
      <c r="K11" s="22">
        <f>Valores!K75</f>
        <v>0</v>
      </c>
      <c r="L11" s="22">
        <f>Valores!L75</f>
        <v>0</v>
      </c>
    </row>
    <row r="12" ht="12.75">
      <c r="A12" s="91"/>
    </row>
    <row r="13" spans="1:12" ht="12.75">
      <c r="A13" s="91"/>
      <c r="B13" s="3">
        <f>B7</f>
        <v>1984</v>
      </c>
      <c r="C13" s="3">
        <f aca="true" t="shared" si="1" ref="C13:L13">C7</f>
        <v>1985</v>
      </c>
      <c r="D13" s="3">
        <f t="shared" si="1"/>
        <v>1986</v>
      </c>
      <c r="E13" s="3">
        <f t="shared" si="1"/>
        <v>1987</v>
      </c>
      <c r="F13" s="3">
        <f t="shared" si="1"/>
        <v>1988</v>
      </c>
      <c r="G13" s="3">
        <f t="shared" si="1"/>
        <v>1989</v>
      </c>
      <c r="H13" s="3">
        <f t="shared" si="1"/>
        <v>1990</v>
      </c>
      <c r="I13" s="3">
        <f t="shared" si="1"/>
        <v>1991</v>
      </c>
      <c r="J13" s="3">
        <f t="shared" si="1"/>
        <v>1992</v>
      </c>
      <c r="K13" s="3">
        <f t="shared" si="1"/>
        <v>1993</v>
      </c>
      <c r="L13" s="3" t="str">
        <f t="shared" si="1"/>
        <v>PREV</v>
      </c>
    </row>
    <row r="14" spans="1:12" ht="12.75">
      <c r="A14" s="98" t="str">
        <f>Valores!A64</f>
        <v>Margen sobre ventas</v>
      </c>
      <c r="B14" s="21">
        <f>Valores!B64</f>
        <v>0.04</v>
      </c>
      <c r="C14" s="21">
        <f>Valores!C64</f>
        <v>0.044</v>
      </c>
      <c r="D14" s="21">
        <f>Valores!D64</f>
        <v>0.15076923076923077</v>
      </c>
      <c r="E14" s="21">
        <f>Valores!E64</f>
        <v>0.168</v>
      </c>
      <c r="F14" s="21">
        <f>Valores!F64</f>
        <v>0.15</v>
      </c>
      <c r="G14" s="21">
        <f>Valores!G64</f>
        <v>0.132</v>
      </c>
      <c r="H14" s="21">
        <f>Valores!H64</f>
        <v>0.11363636363636363</v>
      </c>
      <c r="I14" s="21">
        <f>Valores!I64</f>
        <v>0.12571428571428572</v>
      </c>
      <c r="J14" s="21">
        <f>Valores!J64</f>
        <v>0.138</v>
      </c>
      <c r="K14" s="21">
        <f>Valores!K64</f>
        <v>0</v>
      </c>
      <c r="L14" s="21">
        <f>Valores!L64</f>
        <v>0</v>
      </c>
    </row>
    <row r="15" spans="1:12" ht="12.75">
      <c r="A15" s="99" t="str">
        <f>Valores!A76</f>
        <v>Margen sobre ventas (after tax)</v>
      </c>
      <c r="B15" s="21">
        <f>Valores!B76</f>
        <v>-0.02</v>
      </c>
      <c r="C15" s="21">
        <f>Valores!C76</f>
        <v>0</v>
      </c>
      <c r="D15" s="21">
        <f>Valores!D76</f>
        <v>0.07</v>
      </c>
      <c r="E15" s="21">
        <f>Valores!E76</f>
        <v>0.078</v>
      </c>
      <c r="F15" s="21">
        <f>Valores!F76</f>
        <v>0.075</v>
      </c>
      <c r="G15" s="21">
        <f>Valores!G76</f>
        <v>0.0672</v>
      </c>
      <c r="H15" s="21">
        <f>Valores!H76</f>
        <v>0.05</v>
      </c>
      <c r="I15" s="21">
        <f>Valores!I76</f>
        <v>0.05238095238095238</v>
      </c>
      <c r="J15" s="21">
        <f>Valores!J76</f>
        <v>0.048</v>
      </c>
      <c r="K15" s="21">
        <f>Valores!K76</f>
        <v>0</v>
      </c>
      <c r="L15" s="21">
        <f>Valores!L76</f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Q126"/>
  <sheetViews>
    <sheetView workbookViewId="0" topLeftCell="A1">
      <selection activeCell="F34" sqref="F34"/>
    </sheetView>
  </sheetViews>
  <sheetFormatPr defaultColWidth="9.140625" defaultRowHeight="12.75" outlineLevelRow="1"/>
  <cols>
    <col min="1" max="4" width="9.140625" style="13" customWidth="1"/>
    <col min="5" max="5" width="10.8515625" style="13" customWidth="1"/>
    <col min="6" max="7" width="9.140625" style="13" customWidth="1"/>
    <col min="8" max="8" width="10.140625" style="13" bestFit="1" customWidth="1"/>
    <col min="9" max="9" width="9.140625" style="13" customWidth="1"/>
    <col min="10" max="10" width="11.8515625" style="13" customWidth="1"/>
    <col min="11" max="11" width="40.8515625" style="13" customWidth="1"/>
    <col min="12" max="16384" width="9.140625" style="13" customWidth="1"/>
  </cols>
  <sheetData>
    <row r="1" s="60" customFormat="1" ht="12.75">
      <c r="A1" s="59" t="s">
        <v>95</v>
      </c>
    </row>
    <row r="3" ht="12.75">
      <c r="A3" s="13" t="s">
        <v>182</v>
      </c>
    </row>
    <row r="4" ht="12.75">
      <c r="A4" s="13" t="s">
        <v>183</v>
      </c>
    </row>
    <row r="6" ht="12.75">
      <c r="A6" s="13" t="s">
        <v>96</v>
      </c>
    </row>
    <row r="7" ht="12.75">
      <c r="A7" s="66" t="s">
        <v>184</v>
      </c>
    </row>
    <row r="9" ht="12.75">
      <c r="A9" s="13" t="s">
        <v>97</v>
      </c>
    </row>
    <row r="11" s="59" customFormat="1" ht="12.75">
      <c r="A11" s="59" t="s">
        <v>100</v>
      </c>
    </row>
    <row r="12" ht="12.75">
      <c r="A12" s="69" t="s">
        <v>109</v>
      </c>
    </row>
    <row r="14" s="65" customFormat="1" ht="12.75" outlineLevel="1">
      <c r="A14" s="89" t="s">
        <v>185</v>
      </c>
    </row>
    <row r="15" s="65" customFormat="1" ht="12.75" outlineLevel="1">
      <c r="A15" s="89"/>
    </row>
    <row r="16" s="67" customFormat="1" ht="12.75" outlineLevel="1">
      <c r="A16" s="90" t="s">
        <v>102</v>
      </c>
    </row>
    <row r="17" s="67" customFormat="1" ht="12.75" outlineLevel="1"/>
    <row r="18" s="67" customFormat="1" ht="12.75" outlineLevel="1"/>
    <row r="19" s="67" customFormat="1" ht="12.75" outlineLevel="1"/>
    <row r="20" s="67" customFormat="1" ht="12.75" outlineLevel="1">
      <c r="A20" s="67" t="s">
        <v>104</v>
      </c>
    </row>
    <row r="21" s="67" customFormat="1" ht="12.75" outlineLevel="1"/>
    <row r="22" s="67" customFormat="1" ht="12.75" outlineLevel="1"/>
    <row r="23" s="67" customFormat="1" ht="12.75" outlineLevel="1"/>
    <row r="24" s="67" customFormat="1" ht="12.75" outlineLevel="1"/>
    <row r="25" s="67" customFormat="1" ht="12.75" outlineLevel="1"/>
    <row r="26" s="65" customFormat="1" ht="12.75"/>
    <row r="27" s="65" customFormat="1" ht="12.75" outlineLevel="1">
      <c r="A27" s="65" t="s">
        <v>107</v>
      </c>
    </row>
    <row r="28" s="66" customFormat="1" ht="12.75" outlineLevel="1"/>
    <row r="29" s="66" customFormat="1" ht="12.75" outlineLevel="1"/>
    <row r="31" ht="12.75" outlineLevel="1">
      <c r="A31" s="68" t="s">
        <v>108</v>
      </c>
    </row>
    <row r="32" ht="12.75" outlineLevel="1"/>
    <row r="33" ht="12.75" outlineLevel="1">
      <c r="A33" s="65" t="s">
        <v>110</v>
      </c>
    </row>
    <row r="34" ht="12.75" outlineLevel="1">
      <c r="A34" s="66"/>
    </row>
    <row r="35" ht="12.75" outlineLevel="1">
      <c r="A35" s="66"/>
    </row>
    <row r="37" ht="12.75" outlineLevel="1">
      <c r="A37" s="68" t="s">
        <v>28</v>
      </c>
    </row>
    <row r="38" ht="12.75" outlineLevel="1">
      <c r="A38" s="66"/>
    </row>
    <row r="40" ht="12.75" outlineLevel="1">
      <c r="A40" s="68" t="s">
        <v>111</v>
      </c>
    </row>
    <row r="41" ht="12.75" outlineLevel="1">
      <c r="A41" s="66"/>
    </row>
    <row r="42" ht="12.75" outlineLevel="1">
      <c r="A42" s="66"/>
    </row>
    <row r="43" ht="12.75" outlineLevel="1">
      <c r="A43" s="66"/>
    </row>
    <row r="44" ht="12.75" outlineLevel="1">
      <c r="A44" s="66"/>
    </row>
    <row r="45" ht="12.75" outlineLevel="1">
      <c r="A45" s="66"/>
    </row>
    <row r="46" ht="12.75" outlineLevel="1">
      <c r="A46" s="66"/>
    </row>
    <row r="48" s="59" customFormat="1" ht="12.75">
      <c r="A48" s="59" t="s">
        <v>115</v>
      </c>
    </row>
    <row r="49" ht="12.75">
      <c r="A49" s="13" t="s">
        <v>114</v>
      </c>
    </row>
    <row r="50" ht="12.75">
      <c r="A50" s="13" t="s">
        <v>116</v>
      </c>
    </row>
    <row r="51" ht="12.75">
      <c r="B51" s="13" t="s">
        <v>186</v>
      </c>
    </row>
    <row r="54" ht="12.75">
      <c r="B54" s="13" t="s">
        <v>187</v>
      </c>
    </row>
    <row r="55" ht="12.75">
      <c r="B55" s="13" t="s">
        <v>117</v>
      </c>
    </row>
    <row r="59" ht="12.75">
      <c r="B59" s="13" t="s">
        <v>118</v>
      </c>
    </row>
    <row r="63" s="59" customFormat="1" ht="12.75">
      <c r="A63" s="59" t="s">
        <v>120</v>
      </c>
    </row>
    <row r="64" ht="12.75">
      <c r="A64" s="13" t="s">
        <v>119</v>
      </c>
    </row>
    <row r="65" ht="12.75">
      <c r="A65" s="13" t="s">
        <v>121</v>
      </c>
    </row>
    <row r="66" ht="12.75">
      <c r="B66" s="13" t="s">
        <v>123</v>
      </c>
    </row>
    <row r="67" ht="12.75">
      <c r="B67" s="13" t="s">
        <v>122</v>
      </c>
    </row>
    <row r="68" ht="12.75">
      <c r="B68" s="13" t="s">
        <v>124</v>
      </c>
    </row>
    <row r="69" ht="12.75">
      <c r="C69" s="13" t="s">
        <v>188</v>
      </c>
    </row>
    <row r="70" ht="12.75">
      <c r="B70" s="13" t="s">
        <v>125</v>
      </c>
    </row>
    <row r="71" spans="3:8" ht="12.75">
      <c r="C71" s="13" t="s">
        <v>126</v>
      </c>
      <c r="H71" s="71"/>
    </row>
    <row r="72" spans="3:8" ht="13.5" thickBot="1">
      <c r="C72" s="13" t="s">
        <v>127</v>
      </c>
      <c r="H72" s="72"/>
    </row>
    <row r="73" spans="3:8" ht="12.75">
      <c r="C73" s="74" t="s">
        <v>128</v>
      </c>
      <c r="H73" s="71"/>
    </row>
    <row r="75" spans="3:8" ht="12.75">
      <c r="C75" s="13" t="s">
        <v>129</v>
      </c>
      <c r="H75" s="71"/>
    </row>
    <row r="76" spans="3:8" ht="13.5" thickBot="1">
      <c r="C76" s="13" t="s">
        <v>130</v>
      </c>
      <c r="H76" s="72"/>
    </row>
    <row r="77" spans="3:9" ht="12.75">
      <c r="C77" s="74" t="s">
        <v>133</v>
      </c>
      <c r="H77" s="30"/>
      <c r="I77" s="68"/>
    </row>
    <row r="78" ht="12.75">
      <c r="B78" s="13" t="s">
        <v>131</v>
      </c>
    </row>
    <row r="81" spans="1:17" ht="12.75">
      <c r="A81" s="59" t="s">
        <v>132</v>
      </c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</row>
    <row r="82" spans="1:17" s="76" customFormat="1" ht="12.75">
      <c r="A82" s="77" t="s">
        <v>143</v>
      </c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</row>
    <row r="83" ht="12.75">
      <c r="A83" s="65" t="s">
        <v>140</v>
      </c>
    </row>
    <row r="84" ht="12.75">
      <c r="A84" s="65"/>
    </row>
    <row r="85" ht="12.75">
      <c r="A85" s="65" t="s">
        <v>139</v>
      </c>
    </row>
    <row r="86" spans="1:10" ht="12.75">
      <c r="A86" s="65"/>
      <c r="B86" s="13" t="s">
        <v>33</v>
      </c>
      <c r="C86" s="13" t="s">
        <v>46</v>
      </c>
      <c r="D86" s="13" t="s">
        <v>34</v>
      </c>
      <c r="E86" s="13" t="s">
        <v>134</v>
      </c>
      <c r="F86" s="13" t="s">
        <v>135</v>
      </c>
      <c r="G86" s="13" t="s">
        <v>136</v>
      </c>
      <c r="H86" s="13" t="s">
        <v>137</v>
      </c>
      <c r="J86" s="68" t="s">
        <v>138</v>
      </c>
    </row>
    <row r="87" spans="1:10" ht="12.75">
      <c r="A87" s="65"/>
      <c r="B87" s="30"/>
      <c r="C87" s="30"/>
      <c r="D87" s="30"/>
      <c r="E87" s="30"/>
      <c r="F87" s="30"/>
      <c r="G87" s="30"/>
      <c r="H87" s="30"/>
      <c r="I87" s="30"/>
      <c r="J87" s="30"/>
    </row>
    <row r="88" spans="1:10" ht="12.75">
      <c r="A88" s="65"/>
      <c r="B88" s="30"/>
      <c r="C88" s="30"/>
      <c r="D88" s="30"/>
      <c r="E88" s="30"/>
      <c r="F88" s="30"/>
      <c r="G88" s="30"/>
      <c r="H88" s="30"/>
      <c r="I88" s="30"/>
      <c r="J88" s="30"/>
    </row>
    <row r="89" spans="1:9" ht="12.75">
      <c r="A89" s="65" t="s">
        <v>141</v>
      </c>
      <c r="I89" s="13" t="s">
        <v>142</v>
      </c>
    </row>
    <row r="90" spans="1:6" ht="12.75">
      <c r="A90" s="65"/>
      <c r="F90" s="10"/>
    </row>
    <row r="91" ht="12.75">
      <c r="A91" s="65"/>
    </row>
    <row r="92" ht="12.75">
      <c r="A92" s="65"/>
    </row>
    <row r="93" ht="12.75">
      <c r="A93" s="65"/>
    </row>
    <row r="94" spans="1:6" ht="12.75">
      <c r="A94" s="65" t="s">
        <v>189</v>
      </c>
      <c r="F94" s="13" t="s">
        <v>190</v>
      </c>
    </row>
    <row r="96" ht="12.75">
      <c r="A96" s="68" t="s">
        <v>144</v>
      </c>
    </row>
    <row r="97" ht="12.75">
      <c r="A97" s="68"/>
    </row>
    <row r="98" spans="1:11" s="78" customFormat="1" ht="11.25">
      <c r="A98" s="79" t="s">
        <v>145</v>
      </c>
      <c r="B98" s="79"/>
      <c r="C98" s="79"/>
      <c r="D98" s="79" t="s">
        <v>191</v>
      </c>
      <c r="E98" s="80" t="s">
        <v>192</v>
      </c>
      <c r="F98" s="79" t="s">
        <v>193</v>
      </c>
      <c r="G98" s="79" t="s">
        <v>194</v>
      </c>
      <c r="H98" s="79" t="s">
        <v>195</v>
      </c>
      <c r="I98" s="79" t="s">
        <v>149</v>
      </c>
      <c r="J98" s="79"/>
      <c r="K98" s="79"/>
    </row>
    <row r="99" spans="1:9" ht="12.75">
      <c r="A99" s="68" t="s">
        <v>146</v>
      </c>
      <c r="D99" s="71"/>
      <c r="E99" s="71"/>
      <c r="F99" s="71"/>
      <c r="G99" s="71"/>
      <c r="H99" s="71"/>
      <c r="I99" s="30"/>
    </row>
    <row r="100" spans="1:8" ht="12.75">
      <c r="A100" s="68" t="s">
        <v>147</v>
      </c>
      <c r="D100" s="30"/>
      <c r="E100" s="30"/>
      <c r="F100" s="71"/>
      <c r="G100" s="71"/>
      <c r="H100" s="30"/>
    </row>
    <row r="101" ht="12.75">
      <c r="A101" s="68" t="s">
        <v>148</v>
      </c>
    </row>
    <row r="102" spans="1:11" ht="13.5" thickBot="1">
      <c r="A102" s="81"/>
      <c r="B102" s="73"/>
      <c r="C102" s="73"/>
      <c r="D102" s="73"/>
      <c r="E102" s="73"/>
      <c r="F102" s="73"/>
      <c r="G102" s="73"/>
      <c r="H102" s="73"/>
      <c r="I102" s="73"/>
      <c r="J102" s="73"/>
      <c r="K102" s="73"/>
    </row>
    <row r="103" spans="1:11" ht="35.25" customHeight="1">
      <c r="A103" s="68" t="s">
        <v>150</v>
      </c>
      <c r="D103" s="13" t="s">
        <v>151</v>
      </c>
      <c r="E103" s="13" t="s">
        <v>151</v>
      </c>
      <c r="F103" s="13" t="s">
        <v>151</v>
      </c>
      <c r="G103" s="13" t="s">
        <v>151</v>
      </c>
      <c r="H103" s="13" t="s">
        <v>151</v>
      </c>
      <c r="I103" s="13" t="s">
        <v>151</v>
      </c>
      <c r="K103" s="83"/>
    </row>
    <row r="104" ht="12.75">
      <c r="A104" s="68" t="s">
        <v>168</v>
      </c>
    </row>
    <row r="105" spans="1:9" ht="12.75">
      <c r="A105" s="74" t="s">
        <v>169</v>
      </c>
      <c r="B105" s="13" t="s">
        <v>153</v>
      </c>
      <c r="D105" s="13" t="s">
        <v>151</v>
      </c>
      <c r="E105" s="13" t="s">
        <v>151</v>
      </c>
      <c r="F105" s="13" t="s">
        <v>151</v>
      </c>
      <c r="G105" s="13" t="s">
        <v>151</v>
      </c>
      <c r="H105" s="13" t="s">
        <v>151</v>
      </c>
      <c r="I105" s="13" t="s">
        <v>151</v>
      </c>
    </row>
    <row r="106" spans="1:9" ht="12.75">
      <c r="A106" s="74" t="s">
        <v>169</v>
      </c>
      <c r="B106" s="13" t="s">
        <v>152</v>
      </c>
      <c r="D106" s="13" t="s">
        <v>151</v>
      </c>
      <c r="E106" s="13" t="s">
        <v>151</v>
      </c>
      <c r="F106" s="13" t="s">
        <v>151</v>
      </c>
      <c r="G106" s="13" t="s">
        <v>151</v>
      </c>
      <c r="H106" s="13" t="s">
        <v>151</v>
      </c>
      <c r="I106" s="13" t="s">
        <v>151</v>
      </c>
    </row>
    <row r="107" spans="1:9" ht="12.75">
      <c r="A107" s="74" t="s">
        <v>169</v>
      </c>
      <c r="B107" s="13" t="s">
        <v>156</v>
      </c>
      <c r="D107" s="13" t="s">
        <v>151</v>
      </c>
      <c r="E107" s="13" t="s">
        <v>151</v>
      </c>
      <c r="F107" s="13" t="s">
        <v>151</v>
      </c>
      <c r="G107" s="13" t="s">
        <v>151</v>
      </c>
      <c r="H107" s="13" t="s">
        <v>151</v>
      </c>
      <c r="I107" s="13" t="s">
        <v>151</v>
      </c>
    </row>
    <row r="108" spans="1:9" ht="12.75">
      <c r="A108" s="74" t="s">
        <v>169</v>
      </c>
      <c r="B108" s="13" t="s">
        <v>171</v>
      </c>
      <c r="D108" s="13" t="s">
        <v>172</v>
      </c>
      <c r="E108" s="13" t="s">
        <v>151</v>
      </c>
      <c r="F108" s="13" t="s">
        <v>151</v>
      </c>
      <c r="G108" s="13" t="s">
        <v>151</v>
      </c>
      <c r="H108" s="13" t="s">
        <v>151</v>
      </c>
      <c r="I108" s="71" t="s">
        <v>151</v>
      </c>
    </row>
    <row r="109" spans="1:9" ht="12.75">
      <c r="A109" s="74" t="s">
        <v>169</v>
      </c>
      <c r="B109" s="13" t="s">
        <v>154</v>
      </c>
      <c r="D109" s="13" t="s">
        <v>151</v>
      </c>
      <c r="E109" s="13" t="s">
        <v>151</v>
      </c>
      <c r="F109" s="13" t="s">
        <v>172</v>
      </c>
      <c r="G109" s="13" t="s">
        <v>172</v>
      </c>
      <c r="H109" s="13" t="s">
        <v>151</v>
      </c>
      <c r="I109" s="13" t="s">
        <v>151</v>
      </c>
    </row>
    <row r="110" spans="1:9" ht="12.75">
      <c r="A110" s="74" t="s">
        <v>169</v>
      </c>
      <c r="B110" s="13" t="s">
        <v>155</v>
      </c>
      <c r="D110" s="13" t="s">
        <v>151</v>
      </c>
      <c r="E110" s="13" t="s">
        <v>151</v>
      </c>
      <c r="F110" s="13" t="s">
        <v>151</v>
      </c>
      <c r="G110" s="13" t="s">
        <v>151</v>
      </c>
      <c r="H110" s="13" t="s">
        <v>151</v>
      </c>
      <c r="I110" s="13" t="s">
        <v>151</v>
      </c>
    </row>
    <row r="111" spans="1:9" ht="12.75">
      <c r="A111" s="74" t="s">
        <v>170</v>
      </c>
      <c r="B111" s="13" t="s">
        <v>157</v>
      </c>
      <c r="D111" s="13" t="s">
        <v>151</v>
      </c>
      <c r="E111" s="13" t="s">
        <v>151</v>
      </c>
      <c r="F111" s="13" t="s">
        <v>151</v>
      </c>
      <c r="G111" s="13" t="s">
        <v>151</v>
      </c>
      <c r="H111" s="13" t="s">
        <v>151</v>
      </c>
      <c r="I111" s="13" t="s">
        <v>151</v>
      </c>
    </row>
    <row r="112" spans="1:9" ht="12.75">
      <c r="A112" s="74" t="s">
        <v>170</v>
      </c>
      <c r="B112" s="13" t="s">
        <v>158</v>
      </c>
      <c r="D112" s="13" t="s">
        <v>151</v>
      </c>
      <c r="E112" s="13" t="s">
        <v>151</v>
      </c>
      <c r="F112" s="13" t="s">
        <v>151</v>
      </c>
      <c r="G112" s="13" t="s">
        <v>151</v>
      </c>
      <c r="H112" s="13" t="s">
        <v>151</v>
      </c>
      <c r="I112" s="13" t="s">
        <v>151</v>
      </c>
    </row>
    <row r="113" spans="1:9" ht="12.75">
      <c r="A113" s="74" t="s">
        <v>170</v>
      </c>
      <c r="B113" s="13" t="s">
        <v>159</v>
      </c>
      <c r="D113" s="13" t="s">
        <v>151</v>
      </c>
      <c r="E113" s="13" t="s">
        <v>151</v>
      </c>
      <c r="F113" s="13" t="s">
        <v>151</v>
      </c>
      <c r="G113" s="13" t="s">
        <v>151</v>
      </c>
      <c r="H113" s="13" t="s">
        <v>151</v>
      </c>
      <c r="I113" s="13" t="s">
        <v>151</v>
      </c>
    </row>
    <row r="114" spans="1:9" ht="12.75">
      <c r="A114" s="74" t="s">
        <v>170</v>
      </c>
      <c r="B114" s="13" t="s">
        <v>160</v>
      </c>
      <c r="D114" s="13" t="s">
        <v>151</v>
      </c>
      <c r="E114" s="13" t="s">
        <v>151</v>
      </c>
      <c r="F114" s="13" t="s">
        <v>151</v>
      </c>
      <c r="G114" s="13" t="s">
        <v>151</v>
      </c>
      <c r="H114" s="13" t="s">
        <v>151</v>
      </c>
      <c r="I114" s="13" t="s">
        <v>151</v>
      </c>
    </row>
    <row r="115" spans="1:9" ht="12.75">
      <c r="A115" s="74" t="s">
        <v>170</v>
      </c>
      <c r="B115" s="13" t="s">
        <v>46</v>
      </c>
      <c r="D115" s="13" t="s">
        <v>151</v>
      </c>
      <c r="E115" s="13" t="s">
        <v>151</v>
      </c>
      <c r="F115" s="13" t="s">
        <v>151</v>
      </c>
      <c r="G115" s="13" t="s">
        <v>151</v>
      </c>
      <c r="H115" s="13" t="s">
        <v>151</v>
      </c>
      <c r="I115" s="13" t="s">
        <v>151</v>
      </c>
    </row>
    <row r="116" spans="1:9" ht="12.75">
      <c r="A116" s="74" t="s">
        <v>170</v>
      </c>
      <c r="B116" s="13" t="s">
        <v>45</v>
      </c>
      <c r="D116" s="13" t="s">
        <v>151</v>
      </c>
      <c r="E116" s="13" t="s">
        <v>151</v>
      </c>
      <c r="F116" s="13" t="s">
        <v>151</v>
      </c>
      <c r="G116" s="13" t="s">
        <v>151</v>
      </c>
      <c r="H116" s="13" t="s">
        <v>151</v>
      </c>
      <c r="I116" s="13" t="s">
        <v>151</v>
      </c>
    </row>
    <row r="117" spans="1:9" ht="12.75">
      <c r="A117" s="74" t="s">
        <v>170</v>
      </c>
      <c r="B117" s="13" t="s">
        <v>161</v>
      </c>
      <c r="D117" s="13" t="s">
        <v>151</v>
      </c>
      <c r="E117" s="13" t="s">
        <v>151</v>
      </c>
      <c r="F117" s="13" t="s">
        <v>151</v>
      </c>
      <c r="G117" s="13" t="s">
        <v>151</v>
      </c>
      <c r="H117" s="13" t="s">
        <v>151</v>
      </c>
      <c r="I117" s="13" t="s">
        <v>151</v>
      </c>
    </row>
    <row r="118" spans="1:9" ht="12.75">
      <c r="A118" s="74" t="s">
        <v>170</v>
      </c>
      <c r="B118" s="13" t="s">
        <v>162</v>
      </c>
      <c r="D118" s="13" t="s">
        <v>151</v>
      </c>
      <c r="E118" s="13" t="s">
        <v>151</v>
      </c>
      <c r="F118" s="13" t="s">
        <v>151</v>
      </c>
      <c r="G118" s="13" t="s">
        <v>151</v>
      </c>
      <c r="H118" s="13" t="s">
        <v>151</v>
      </c>
      <c r="I118" s="13" t="s">
        <v>151</v>
      </c>
    </row>
    <row r="120" ht="12.75">
      <c r="A120" s="68" t="s">
        <v>163</v>
      </c>
    </row>
    <row r="121" ht="12.75">
      <c r="B121" s="13" t="s">
        <v>164</v>
      </c>
    </row>
    <row r="122" ht="12.75">
      <c r="B122" s="13" t="s">
        <v>165</v>
      </c>
    </row>
    <row r="123" ht="12.75">
      <c r="B123" s="13" t="s">
        <v>166</v>
      </c>
    </row>
    <row r="124" ht="12.75">
      <c r="B124" s="13" t="s">
        <v>3</v>
      </c>
    </row>
    <row r="126" ht="12.75">
      <c r="A126" s="68" t="s">
        <v>167</v>
      </c>
    </row>
  </sheetData>
  <printOptions/>
  <pageMargins left="0.75" right="0.75" top="1" bottom="1" header="0.5" footer="0.5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N264"/>
  <sheetViews>
    <sheetView workbookViewId="0" topLeftCell="A1">
      <selection activeCell="A184" sqref="A184"/>
    </sheetView>
  </sheetViews>
  <sheetFormatPr defaultColWidth="9.140625" defaultRowHeight="12.75"/>
  <cols>
    <col min="1" max="1" width="11.421875" style="0" customWidth="1"/>
    <col min="2" max="2" width="15.8515625" style="0" customWidth="1"/>
    <col min="3" max="3" width="8.00390625" style="0" customWidth="1"/>
    <col min="4" max="4" width="16.7109375" style="0" customWidth="1"/>
    <col min="5" max="5" width="15.7109375" style="0" customWidth="1"/>
    <col min="6" max="6" width="19.00390625" style="0" customWidth="1"/>
    <col min="7" max="8" width="11.421875" style="0" customWidth="1"/>
    <col min="9" max="9" width="7.28125" style="0" customWidth="1"/>
    <col min="10" max="16384" width="11.421875" style="0" customWidth="1"/>
  </cols>
  <sheetData>
    <row r="3" spans="1:14" s="123" customFormat="1" ht="12.75">
      <c r="A3" s="122" t="s">
        <v>203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</row>
    <row r="5" spans="1:11" ht="12.75">
      <c r="A5" s="3" t="s">
        <v>204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</row>
    <row r="7" ht="12.75">
      <c r="A7" s="33" t="s">
        <v>205</v>
      </c>
    </row>
    <row r="9" ht="12.75">
      <c r="A9" s="33" t="s">
        <v>206</v>
      </c>
    </row>
    <row r="11" spans="2:4" ht="12.75">
      <c r="B11" s="101"/>
      <c r="C11" s="102"/>
      <c r="D11" s="101"/>
    </row>
    <row r="12" spans="2:4" ht="12.75">
      <c r="B12" s="103"/>
      <c r="C12" s="102"/>
      <c r="D12" s="103" t="s">
        <v>9</v>
      </c>
    </row>
    <row r="13" spans="2:4" ht="12.75">
      <c r="B13" s="103" t="s">
        <v>7</v>
      </c>
      <c r="C13" s="102"/>
      <c r="D13" s="103"/>
    </row>
    <row r="14" spans="2:4" ht="12.75">
      <c r="B14" s="103"/>
      <c r="C14" s="102"/>
      <c r="D14" s="104"/>
    </row>
    <row r="15" spans="2:4" ht="12.75">
      <c r="B15" s="105"/>
      <c r="C15" s="102"/>
      <c r="D15" s="106" t="s">
        <v>10</v>
      </c>
    </row>
    <row r="16" spans="2:4" ht="12.75">
      <c r="B16" s="104"/>
      <c r="C16" s="102"/>
      <c r="D16" s="106"/>
    </row>
    <row r="17" spans="2:4" ht="12.75">
      <c r="B17" s="106"/>
      <c r="C17" s="102"/>
      <c r="D17" s="107"/>
    </row>
    <row r="18" spans="2:4" ht="12.75">
      <c r="B18" s="106" t="s">
        <v>8</v>
      </c>
      <c r="C18" s="102"/>
      <c r="D18" s="108" t="s">
        <v>207</v>
      </c>
    </row>
    <row r="19" spans="2:4" ht="12.75">
      <c r="B19" s="106"/>
      <c r="C19" s="102"/>
      <c r="D19" s="108"/>
    </row>
    <row r="20" spans="2:4" ht="12.75">
      <c r="B20" s="107"/>
      <c r="C20" s="102"/>
      <c r="D20" s="109"/>
    </row>
    <row r="23" ht="12.75">
      <c r="A23" s="33" t="s">
        <v>208</v>
      </c>
    </row>
    <row r="24" ht="12.75">
      <c r="A24" s="33"/>
    </row>
    <row r="25" ht="12.75">
      <c r="A25" s="110" t="s">
        <v>209</v>
      </c>
    </row>
    <row r="26" ht="12.75">
      <c r="A26" s="33"/>
    </row>
    <row r="27" ht="12.75">
      <c r="A27" s="33"/>
    </row>
    <row r="28" spans="4:5" ht="12.75">
      <c r="D28" s="111" t="s">
        <v>210</v>
      </c>
      <c r="E28" s="111"/>
    </row>
    <row r="29" spans="1:4" ht="12.75">
      <c r="A29" s="112" t="s">
        <v>211</v>
      </c>
      <c r="D29" s="112"/>
    </row>
    <row r="30" spans="4:5" ht="12.75">
      <c r="D30" s="111" t="s">
        <v>212</v>
      </c>
      <c r="E30" s="111"/>
    </row>
    <row r="32" ht="12.75">
      <c r="A32" s="112" t="s">
        <v>213</v>
      </c>
    </row>
    <row r="34" spans="5:6" ht="12.75">
      <c r="E34" s="111" t="s">
        <v>214</v>
      </c>
      <c r="F34" s="111"/>
    </row>
    <row r="35" ht="12.75">
      <c r="A35" s="112" t="s">
        <v>215</v>
      </c>
    </row>
    <row r="36" spans="5:6" ht="12.75">
      <c r="E36" s="111" t="s">
        <v>2</v>
      </c>
      <c r="F36" s="111"/>
    </row>
    <row r="39" ht="12.75">
      <c r="A39" s="33" t="s">
        <v>216</v>
      </c>
    </row>
    <row r="40" spans="5:6" ht="12.75">
      <c r="E40" s="111" t="s">
        <v>217</v>
      </c>
      <c r="F40" s="111"/>
    </row>
    <row r="41" spans="1:4" ht="12.75">
      <c r="A41" s="112" t="s">
        <v>218</v>
      </c>
      <c r="D41" s="113" t="s">
        <v>219</v>
      </c>
    </row>
    <row r="42" spans="5:6" ht="12.75">
      <c r="E42" s="111" t="s">
        <v>220</v>
      </c>
      <c r="F42" s="111"/>
    </row>
    <row r="45" ht="12.75">
      <c r="A45" s="112" t="s">
        <v>221</v>
      </c>
    </row>
    <row r="47" ht="12.75">
      <c r="B47" t="s">
        <v>222</v>
      </c>
    </row>
    <row r="49" ht="12.75">
      <c r="B49" t="s">
        <v>223</v>
      </c>
    </row>
    <row r="52" ht="12.75">
      <c r="A52" s="33" t="s">
        <v>224</v>
      </c>
    </row>
    <row r="54" ht="12.75">
      <c r="A54" t="s">
        <v>225</v>
      </c>
    </row>
    <row r="56" spans="2:6" ht="12.75">
      <c r="B56" t="s">
        <v>226</v>
      </c>
      <c r="F56" t="s">
        <v>227</v>
      </c>
    </row>
    <row r="58" spans="2:5" ht="12.75">
      <c r="B58" t="s">
        <v>228</v>
      </c>
      <c r="E58" t="s">
        <v>229</v>
      </c>
    </row>
    <row r="59" spans="2:5" ht="12.75">
      <c r="B59" t="s">
        <v>230</v>
      </c>
      <c r="E59" t="s">
        <v>5</v>
      </c>
    </row>
    <row r="60" spans="2:5" ht="12.75">
      <c r="B60" t="s">
        <v>231</v>
      </c>
      <c r="E60" t="s">
        <v>24</v>
      </c>
    </row>
    <row r="61" spans="2:5" ht="12.75">
      <c r="B61" t="s">
        <v>232</v>
      </c>
      <c r="E61" t="s">
        <v>233</v>
      </c>
    </row>
    <row r="62" ht="12.75">
      <c r="E62" t="s">
        <v>10</v>
      </c>
    </row>
    <row r="63" ht="12.75">
      <c r="E63" t="s">
        <v>207</v>
      </c>
    </row>
    <row r="64" ht="12.75">
      <c r="E64" t="s">
        <v>234</v>
      </c>
    </row>
    <row r="67" spans="1:3" ht="12.75">
      <c r="A67" s="33" t="s">
        <v>235</v>
      </c>
      <c r="C67" t="s">
        <v>236</v>
      </c>
    </row>
    <row r="70" ht="12.75">
      <c r="A70" s="33" t="s">
        <v>4</v>
      </c>
    </row>
    <row r="71" ht="12.75">
      <c r="A71" s="33"/>
    </row>
    <row r="73" spans="1:3" ht="12.75">
      <c r="A73" t="s">
        <v>237</v>
      </c>
      <c r="C73" t="s">
        <v>238</v>
      </c>
    </row>
    <row r="75" ht="12.75">
      <c r="E75" t="s">
        <v>8</v>
      </c>
    </row>
    <row r="76" ht="12.75">
      <c r="A76" t="s">
        <v>239</v>
      </c>
    </row>
    <row r="77" ht="12.75">
      <c r="E77" t="s">
        <v>207</v>
      </c>
    </row>
    <row r="80" spans="1:3" ht="12.75">
      <c r="A80" s="33"/>
      <c r="C80" s="114" t="s">
        <v>240</v>
      </c>
    </row>
    <row r="81" ht="12.75">
      <c r="A81" t="s">
        <v>241</v>
      </c>
    </row>
    <row r="82" ht="12.75">
      <c r="C82" s="114" t="s">
        <v>242</v>
      </c>
    </row>
    <row r="85" spans="1:11" ht="12.75">
      <c r="A85" s="3" t="s">
        <v>243</v>
      </c>
      <c r="B85" s="3"/>
      <c r="C85" s="3"/>
      <c r="D85" s="3"/>
      <c r="E85" s="3"/>
      <c r="F85" s="3"/>
      <c r="G85" s="3"/>
      <c r="H85" s="3"/>
      <c r="I85" s="3"/>
      <c r="J85" s="3"/>
      <c r="K85" s="3"/>
    </row>
    <row r="86" ht="12.75">
      <c r="A86" s="33"/>
    </row>
    <row r="87" spans="1:5" ht="12.75">
      <c r="A87" s="33"/>
      <c r="E87" s="114" t="s">
        <v>8</v>
      </c>
    </row>
    <row r="88" spans="1:6" ht="12.75">
      <c r="A88" s="115" t="s">
        <v>244</v>
      </c>
      <c r="F88" t="s">
        <v>245</v>
      </c>
    </row>
    <row r="89" spans="1:5" ht="12.75">
      <c r="A89" s="33"/>
      <c r="E89" t="s">
        <v>246</v>
      </c>
    </row>
    <row r="90" ht="12.75">
      <c r="A90" s="33"/>
    </row>
    <row r="91" spans="1:4" ht="12.75">
      <c r="A91" s="33"/>
      <c r="D91" s="114" t="s">
        <v>177</v>
      </c>
    </row>
    <row r="92" spans="1:5" ht="12.75">
      <c r="A92" s="115" t="s">
        <v>247</v>
      </c>
      <c r="E92" s="114" t="s">
        <v>245</v>
      </c>
    </row>
    <row r="93" spans="1:4" ht="12.75">
      <c r="A93" s="33"/>
      <c r="D93" s="114" t="s">
        <v>248</v>
      </c>
    </row>
    <row r="95" ht="12.75">
      <c r="F95" t="s">
        <v>249</v>
      </c>
    </row>
    <row r="96" spans="1:8" ht="12.75">
      <c r="A96" t="s">
        <v>250</v>
      </c>
      <c r="H96" s="116" t="s">
        <v>245</v>
      </c>
    </row>
    <row r="97" ht="12.75">
      <c r="F97" t="s">
        <v>251</v>
      </c>
    </row>
    <row r="99" ht="12.75">
      <c r="E99" t="s">
        <v>252</v>
      </c>
    </row>
    <row r="100" spans="1:8" ht="12.75">
      <c r="A100" t="s">
        <v>253</v>
      </c>
      <c r="H100" s="6" t="s">
        <v>245</v>
      </c>
    </row>
    <row r="101" spans="5:6" ht="12.75">
      <c r="E101" s="111" t="s">
        <v>254</v>
      </c>
      <c r="F101" s="111"/>
    </row>
    <row r="103" ht="12.75">
      <c r="F103" t="s">
        <v>255</v>
      </c>
    </row>
    <row r="104" spans="1:9" ht="12.75">
      <c r="A104" t="s">
        <v>256</v>
      </c>
      <c r="I104" s="6" t="s">
        <v>245</v>
      </c>
    </row>
    <row r="105" spans="6:7" ht="12.75">
      <c r="F105" s="111" t="s">
        <v>248</v>
      </c>
      <c r="G105" s="111"/>
    </row>
    <row r="107" spans="4:5" ht="12.75">
      <c r="D107" s="111" t="s">
        <v>257</v>
      </c>
      <c r="E107" s="111"/>
    </row>
    <row r="108" spans="1:6" ht="12.75">
      <c r="A108" t="s">
        <v>258</v>
      </c>
      <c r="F108" s="114" t="s">
        <v>245</v>
      </c>
    </row>
    <row r="109" ht="12.75">
      <c r="D109" t="s">
        <v>259</v>
      </c>
    </row>
    <row r="112" ht="12.75">
      <c r="D112" s="114" t="s">
        <v>260</v>
      </c>
    </row>
    <row r="113" spans="1:5" ht="12.75">
      <c r="A113" t="s">
        <v>261</v>
      </c>
      <c r="E113" s="116" t="s">
        <v>245</v>
      </c>
    </row>
    <row r="114" ht="12.75">
      <c r="D114" s="114" t="s">
        <v>262</v>
      </c>
    </row>
    <row r="119" spans="1:11" ht="12.75">
      <c r="A119" s="3" t="s">
        <v>346</v>
      </c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ht="12.75">
      <c r="K120" s="114"/>
    </row>
    <row r="121" ht="12.75">
      <c r="A121" t="s">
        <v>263</v>
      </c>
    </row>
    <row r="123" ht="12.75">
      <c r="A123" t="s">
        <v>264</v>
      </c>
    </row>
    <row r="124" spans="1:2" ht="12.75">
      <c r="A124" s="113" t="s">
        <v>265</v>
      </c>
      <c r="B124" t="s">
        <v>266</v>
      </c>
    </row>
    <row r="125" ht="12.75">
      <c r="A125" t="s">
        <v>201</v>
      </c>
    </row>
    <row r="126" spans="1:2" ht="12.75">
      <c r="A126" s="113" t="s">
        <v>265</v>
      </c>
      <c r="B126" t="s">
        <v>267</v>
      </c>
    </row>
    <row r="127" ht="12.75">
      <c r="A127" t="s">
        <v>268</v>
      </c>
    </row>
    <row r="128" spans="1:2" ht="12.75">
      <c r="A128" s="113" t="s">
        <v>265</v>
      </c>
      <c r="B128" t="s">
        <v>269</v>
      </c>
    </row>
    <row r="129" ht="12.75">
      <c r="A129" t="s">
        <v>270</v>
      </c>
    </row>
    <row r="130" spans="1:2" ht="12.75">
      <c r="A130" s="113" t="s">
        <v>265</v>
      </c>
      <c r="B130" t="s">
        <v>271</v>
      </c>
    </row>
    <row r="131" spans="1:2" ht="12.75">
      <c r="A131" s="113" t="s">
        <v>265</v>
      </c>
      <c r="B131" t="s">
        <v>272</v>
      </c>
    </row>
    <row r="132" ht="12.75">
      <c r="A132" t="s">
        <v>273</v>
      </c>
    </row>
    <row r="133" spans="1:2" ht="12.75">
      <c r="A133" s="113" t="s">
        <v>265</v>
      </c>
      <c r="B133" t="s">
        <v>274</v>
      </c>
    </row>
    <row r="134" ht="12.75">
      <c r="A134" t="s">
        <v>275</v>
      </c>
    </row>
    <row r="141" ht="12.75">
      <c r="D141" t="s">
        <v>276</v>
      </c>
    </row>
    <row r="142" ht="12.75">
      <c r="A142" s="33" t="s">
        <v>277</v>
      </c>
    </row>
    <row r="143" ht="12.75">
      <c r="D143" s="114" t="s">
        <v>278</v>
      </c>
    </row>
    <row r="146" ht="12.75">
      <c r="D146" s="114" t="s">
        <v>279</v>
      </c>
    </row>
    <row r="147" ht="12.75">
      <c r="A147" t="s">
        <v>280</v>
      </c>
    </row>
    <row r="148" ht="12.75">
      <c r="D148" s="114" t="s">
        <v>281</v>
      </c>
    </row>
    <row r="150" spans="2:5" ht="12.75">
      <c r="B150" s="114" t="s">
        <v>282</v>
      </c>
      <c r="D150" s="111" t="s">
        <v>199</v>
      </c>
      <c r="E150" s="111"/>
    </row>
    <row r="151" spans="1:7" ht="12.75">
      <c r="A151" t="s">
        <v>283</v>
      </c>
      <c r="G151" t="s">
        <v>284</v>
      </c>
    </row>
    <row r="152" spans="2:5" ht="12.75">
      <c r="B152" s="114" t="s">
        <v>199</v>
      </c>
      <c r="D152" s="111" t="s">
        <v>285</v>
      </c>
      <c r="E152" s="111"/>
    </row>
    <row r="156" ht="12.75">
      <c r="E156" s="114" t="s">
        <v>33</v>
      </c>
    </row>
    <row r="157" spans="1:5" ht="12.75">
      <c r="A157" s="33" t="s">
        <v>286</v>
      </c>
      <c r="E157" s="114"/>
    </row>
    <row r="158" ht="12.75">
      <c r="E158" s="114" t="s">
        <v>9</v>
      </c>
    </row>
    <row r="160" ht="12.75">
      <c r="A160" s="33" t="s">
        <v>287</v>
      </c>
    </row>
    <row r="161" spans="4:8" ht="12.75">
      <c r="D161" t="s">
        <v>288</v>
      </c>
      <c r="E161" t="s">
        <v>289</v>
      </c>
      <c r="H161" t="s">
        <v>290</v>
      </c>
    </row>
    <row r="163" spans="4:8" ht="12.75">
      <c r="D163" t="s">
        <v>291</v>
      </c>
      <c r="E163" t="s">
        <v>292</v>
      </c>
      <c r="H163" t="s">
        <v>293</v>
      </c>
    </row>
    <row r="165" spans="4:10" ht="12.75">
      <c r="D165" t="s">
        <v>294</v>
      </c>
      <c r="E165" t="s">
        <v>295</v>
      </c>
      <c r="H165" t="s">
        <v>296</v>
      </c>
      <c r="J165" t="s">
        <v>297</v>
      </c>
    </row>
    <row r="169" spans="4:8" ht="12.75">
      <c r="D169" s="114" t="s">
        <v>278</v>
      </c>
      <c r="F169" s="114" t="s">
        <v>33</v>
      </c>
      <c r="H169" s="114" t="s">
        <v>34</v>
      </c>
    </row>
    <row r="170" spans="1:2" ht="12.75">
      <c r="A170" t="s">
        <v>298</v>
      </c>
      <c r="B170" t="s">
        <v>283</v>
      </c>
    </row>
    <row r="171" spans="4:8" ht="12.75">
      <c r="D171" s="114" t="s">
        <v>9</v>
      </c>
      <c r="F171" s="114" t="s">
        <v>276</v>
      </c>
      <c r="H171" s="114" t="s">
        <v>33</v>
      </c>
    </row>
    <row r="183" spans="1:11" ht="12.75">
      <c r="A183" s="3" t="s">
        <v>347</v>
      </c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6" ht="12.75">
      <c r="A186" t="s">
        <v>299</v>
      </c>
    </row>
    <row r="187" ht="12.75">
      <c r="A187" t="s">
        <v>300</v>
      </c>
    </row>
    <row r="189" ht="12.75">
      <c r="D189" t="s">
        <v>301</v>
      </c>
    </row>
    <row r="190" spans="1:2" ht="12.75">
      <c r="A190" s="117" t="s">
        <v>302</v>
      </c>
      <c r="B190" s="118"/>
    </row>
    <row r="197" spans="7:11" ht="12.75">
      <c r="G197" s="111" t="s">
        <v>303</v>
      </c>
      <c r="H197" s="111"/>
      <c r="I197" s="111"/>
      <c r="J197" s="111"/>
      <c r="K197" s="111"/>
    </row>
    <row r="198" spans="1:2" ht="12.75">
      <c r="A198" s="117" t="s">
        <v>304</v>
      </c>
      <c r="B198" s="118"/>
    </row>
    <row r="202" spans="8:10" ht="12.75">
      <c r="H202" s="117" t="s">
        <v>305</v>
      </c>
      <c r="I202" s="119"/>
      <c r="J202" s="118"/>
    </row>
    <row r="204" ht="12.75">
      <c r="H204" s="112" t="s">
        <v>306</v>
      </c>
    </row>
    <row r="205" ht="12.75">
      <c r="H205" s="112"/>
    </row>
    <row r="206" ht="12.75">
      <c r="H206" s="112" t="s">
        <v>307</v>
      </c>
    </row>
    <row r="208" ht="12.75">
      <c r="A208" t="s">
        <v>308</v>
      </c>
    </row>
    <row r="211" ht="12.75">
      <c r="A211" t="s">
        <v>309</v>
      </c>
    </row>
    <row r="212" ht="12.75">
      <c r="D212" s="112" t="s">
        <v>310</v>
      </c>
    </row>
    <row r="214" spans="4:7" ht="12.75">
      <c r="D214" s="120" t="s">
        <v>311</v>
      </c>
      <c r="G214" t="s">
        <v>312</v>
      </c>
    </row>
    <row r="215" ht="12.75">
      <c r="D215" s="120"/>
    </row>
    <row r="216" spans="1:4" ht="12.75">
      <c r="A216" t="s">
        <v>313</v>
      </c>
      <c r="D216" s="120"/>
    </row>
    <row r="217" ht="12.75">
      <c r="D217" s="120"/>
    </row>
    <row r="218" ht="12.75">
      <c r="D218" s="33" t="s">
        <v>314</v>
      </c>
    </row>
    <row r="220" ht="12.75">
      <c r="E220" s="112" t="s">
        <v>315</v>
      </c>
    </row>
    <row r="221" ht="12.75">
      <c r="D221" s="113" t="s">
        <v>316</v>
      </c>
    </row>
    <row r="222" ht="12.75">
      <c r="E222" s="112" t="s">
        <v>317</v>
      </c>
    </row>
    <row r="223" ht="12.75">
      <c r="D223" s="113" t="s">
        <v>316</v>
      </c>
    </row>
    <row r="224" ht="12.75">
      <c r="E224" s="112" t="s">
        <v>318</v>
      </c>
    </row>
    <row r="225" ht="12.75">
      <c r="D225" s="113" t="s">
        <v>316</v>
      </c>
    </row>
    <row r="226" ht="12.75">
      <c r="E226" s="112" t="s">
        <v>319</v>
      </c>
    </row>
    <row r="229" ht="12.75">
      <c r="D229" s="33" t="s">
        <v>320</v>
      </c>
    </row>
    <row r="231" ht="12.75">
      <c r="E231" t="s">
        <v>321</v>
      </c>
    </row>
    <row r="238" ht="12.75">
      <c r="D238" s="33" t="s">
        <v>322</v>
      </c>
    </row>
    <row r="240" ht="12.75">
      <c r="E240" t="s">
        <v>323</v>
      </c>
    </row>
    <row r="241" ht="12.75">
      <c r="E241" t="s">
        <v>324</v>
      </c>
    </row>
    <row r="243" ht="12.75">
      <c r="E243" t="s">
        <v>325</v>
      </c>
    </row>
    <row r="244" ht="12.75">
      <c r="E244" t="s">
        <v>326</v>
      </c>
    </row>
    <row r="246" spans="1:8" ht="12.75">
      <c r="A246" t="s">
        <v>327</v>
      </c>
      <c r="F246" s="111" t="s">
        <v>328</v>
      </c>
      <c r="G246" s="111"/>
      <c r="H246" s="111"/>
    </row>
    <row r="247" ht="12.75">
      <c r="D247" s="33" t="s">
        <v>329</v>
      </c>
    </row>
    <row r="248" spans="6:8" ht="12.75">
      <c r="F248" s="111" t="s">
        <v>330</v>
      </c>
      <c r="G248" s="111"/>
      <c r="H248" s="111"/>
    </row>
    <row r="250" spans="4:6" ht="15">
      <c r="D250" s="121" t="s">
        <v>331</v>
      </c>
      <c r="F250" t="s">
        <v>332</v>
      </c>
    </row>
    <row r="252" spans="4:6" ht="15">
      <c r="D252" s="121" t="s">
        <v>333</v>
      </c>
      <c r="F252" t="s">
        <v>334</v>
      </c>
    </row>
    <row r="254" ht="12.75">
      <c r="J254" s="114" t="s">
        <v>335</v>
      </c>
    </row>
    <row r="255" spans="4:9" ht="12.75">
      <c r="D255" s="33" t="s">
        <v>336</v>
      </c>
      <c r="F255" t="s">
        <v>337</v>
      </c>
      <c r="I255" t="s">
        <v>338</v>
      </c>
    </row>
    <row r="256" ht="12.75">
      <c r="J256" s="114" t="s">
        <v>9</v>
      </c>
    </row>
    <row r="257" spans="4:6" ht="12.75">
      <c r="D257" s="33" t="s">
        <v>339</v>
      </c>
      <c r="F257" t="s">
        <v>340</v>
      </c>
    </row>
    <row r="259" spans="4:6" ht="12.75">
      <c r="D259" s="33" t="s">
        <v>341</v>
      </c>
      <c r="F259" t="s">
        <v>342</v>
      </c>
    </row>
    <row r="261" ht="12.75">
      <c r="E261" t="s">
        <v>343</v>
      </c>
    </row>
    <row r="263" ht="12.75">
      <c r="E263" t="s">
        <v>344</v>
      </c>
    </row>
    <row r="264" ht="12.75">
      <c r="E264" t="s">
        <v>345</v>
      </c>
    </row>
  </sheetData>
  <mergeCells count="18">
    <mergeCell ref="F246:H246"/>
    <mergeCell ref="F248:H248"/>
    <mergeCell ref="A190:B190"/>
    <mergeCell ref="G197:K197"/>
    <mergeCell ref="A198:B198"/>
    <mergeCell ref="H202:J202"/>
    <mergeCell ref="F105:G105"/>
    <mergeCell ref="D107:E107"/>
    <mergeCell ref="D150:E150"/>
    <mergeCell ref="D152:E152"/>
    <mergeCell ref="E36:F36"/>
    <mergeCell ref="E40:F40"/>
    <mergeCell ref="E42:F42"/>
    <mergeCell ref="E101:F101"/>
    <mergeCell ref="A3:N3"/>
    <mergeCell ref="D28:E28"/>
    <mergeCell ref="D30:E30"/>
    <mergeCell ref="E34:F3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Big Boss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Analisis Financiero</dc:title>
  <dc:subject/>
  <dc:creator>Mar Santana;Pedro Amador;Jaime Castello</dc:creator>
  <cp:keywords>Chachi, Piruli, Economía para torpes, Guapi</cp:keywords>
  <dc:description>grupo_esade_torpes@pedroamador.com</dc:description>
  <cp:lastModifiedBy>Pedro Amador López</cp:lastModifiedBy>
  <cp:lastPrinted>2002-04-26T09:43:14Z</cp:lastPrinted>
  <dcterms:created xsi:type="dcterms:W3CDTF">2002-04-06T16:35:20Z</dcterms:created>
  <dcterms:modified xsi:type="dcterms:W3CDTF">2002-05-09T22:51:06Z</dcterms:modified>
  <cp:category/>
  <cp:version/>
  <cp:contentType/>
  <cp:contentStatus/>
</cp:coreProperties>
</file>